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80" windowWidth="13755" windowHeight="11175" tabRatio="945" firstSheet="3" activeTab="6"/>
  </bookViews>
  <sheets>
    <sheet name="Паспорт программы Прил 1" sheetId="10" r:id="rId1"/>
    <sheet name="Прил 2 Паспорт подпр СоЗд усл 1" sheetId="3" r:id="rId2"/>
    <sheet name="Прил 3 пасп подпр СШ 2" sheetId="17" r:id="rId3"/>
    <sheet name="Прил 4 пасп подпр Обесп 3" sheetId="8" r:id="rId4"/>
    <sheet name="Прил 5 Планируемые результаты" sheetId="1" r:id="rId5"/>
    <sheet name="Прил 6 методика расчета" sheetId="16" r:id="rId6"/>
    <sheet name="Прил 7 Перечень мероприятий" sheetId="13" r:id="rId7"/>
    <sheet name="Прил 8 Обоснов фин ресурсов" sheetId="12" r:id="rId8"/>
    <sheet name="Прил 9 Адрес. пер. кап.рем" sheetId="19" r:id="rId9"/>
    <sheet name="Прил 10 Адрес. пер. кап.рем" sheetId="20" r:id="rId10"/>
    <sheet name="Прил 11 Адрес.пер. стр.рек." sheetId="18" r:id="rId11"/>
  </sheets>
  <definedNames>
    <definedName name="_xlnm.Print_Area" localSheetId="0">'Паспорт программы Прил 1'!$A$1:$G$44</definedName>
    <definedName name="_xlnm.Print_Area" localSheetId="4">'Прил 5 Планируемые результаты'!$A$1:$K$35</definedName>
    <definedName name="_xlnm.Print_Area" localSheetId="5">'Прил 6 методика расчета'!$A$1:$H$31</definedName>
    <definedName name="_xlnm.Print_Area" localSheetId="6">'Прил 7 Перечень мероприятий'!$A$1:$M$134</definedName>
    <definedName name="_xlnm.Print_Area" localSheetId="7">'Прил 8 Обоснов фин ресурсов'!$A$1:$G$315</definedName>
  </definedNames>
  <calcPr calcId="144525"/>
</workbook>
</file>

<file path=xl/calcChain.xml><?xml version="1.0" encoding="utf-8"?>
<calcChain xmlns="http://schemas.openxmlformats.org/spreadsheetml/2006/main">
  <c r="Q133" i="13" l="1"/>
  <c r="R110" i="13"/>
  <c r="Q68" i="13"/>
  <c r="Q62" i="13"/>
  <c r="Q132" i="13"/>
  <c r="H118" i="13"/>
  <c r="H91" i="13"/>
  <c r="H87" i="13"/>
  <c r="H69" i="13"/>
  <c r="H15" i="13"/>
  <c r="F121" i="12" l="1"/>
  <c r="F241" i="12"/>
  <c r="D20" i="20" l="1"/>
  <c r="D19" i="20"/>
  <c r="G19" i="19"/>
  <c r="D19" i="19"/>
  <c r="D18" i="19"/>
  <c r="K46" i="13" l="1"/>
  <c r="J46" i="13"/>
  <c r="I46" i="13"/>
  <c r="I45" i="13"/>
  <c r="F129" i="12"/>
  <c r="F105" i="12" s="1"/>
  <c r="J18" i="20" l="1"/>
  <c r="G18" i="20" s="1"/>
  <c r="I18" i="20"/>
  <c r="I19" i="18"/>
  <c r="J19" i="18"/>
  <c r="K19" i="18"/>
  <c r="H19" i="18"/>
  <c r="I16" i="18"/>
  <c r="J16" i="18"/>
  <c r="K16" i="18"/>
  <c r="H16" i="18"/>
  <c r="J17" i="19"/>
  <c r="J19" i="19" s="1"/>
  <c r="I18" i="19"/>
  <c r="I17" i="19" s="1"/>
  <c r="I19" i="19" s="1"/>
  <c r="J17" i="20" l="1"/>
  <c r="J20" i="20" s="1"/>
  <c r="H17" i="20"/>
  <c r="H20" i="20" s="1"/>
  <c r="F245" i="12" l="1"/>
  <c r="F244" i="12"/>
  <c r="F243" i="12"/>
  <c r="F242" i="12"/>
  <c r="H24" i="16"/>
  <c r="H22" i="16"/>
  <c r="H21" i="16"/>
  <c r="H19" i="16"/>
  <c r="H17" i="16"/>
  <c r="H12" i="16"/>
  <c r="F101" i="13"/>
  <c r="E101" i="13"/>
  <c r="E100" i="13" s="1"/>
  <c r="K100" i="13"/>
  <c r="J100" i="13"/>
  <c r="I100" i="13"/>
  <c r="H100" i="13"/>
  <c r="G100" i="13"/>
  <c r="H37" i="13"/>
  <c r="F240" i="12" l="1"/>
  <c r="F100" i="13"/>
  <c r="F101" i="12"/>
  <c r="F100" i="12"/>
  <c r="F99" i="12"/>
  <c r="F98" i="12"/>
  <c r="F97" i="12"/>
  <c r="F233" i="12"/>
  <c r="F232" i="12"/>
  <c r="F231" i="12"/>
  <c r="F229" i="12"/>
  <c r="F137" i="12"/>
  <c r="F136" i="12"/>
  <c r="F135" i="12"/>
  <c r="F133" i="12"/>
  <c r="F131" i="12"/>
  <c r="F130" i="12"/>
  <c r="F127" i="12"/>
  <c r="F95" i="12"/>
  <c r="F94" i="12"/>
  <c r="F93" i="12"/>
  <c r="F92" i="12"/>
  <c r="F89" i="12"/>
  <c r="F88" i="12"/>
  <c r="F87" i="12"/>
  <c r="F86" i="12"/>
  <c r="H89" i="13" l="1"/>
  <c r="H85" i="13"/>
  <c r="H95" i="13"/>
  <c r="J45" i="13"/>
  <c r="K45" i="13"/>
  <c r="H27" i="13"/>
  <c r="F236" i="12" l="1"/>
  <c r="F235" i="12"/>
  <c r="F239" i="12"/>
  <c r="F238" i="12"/>
  <c r="F237" i="12"/>
  <c r="K32" i="10"/>
  <c r="F14" i="12"/>
  <c r="G99" i="13"/>
  <c r="F99" i="13" s="1"/>
  <c r="K98" i="13"/>
  <c r="J98" i="13"/>
  <c r="I98" i="13"/>
  <c r="H98" i="13"/>
  <c r="F234" i="12" l="1"/>
  <c r="G98" i="13"/>
  <c r="F98" i="13" s="1"/>
  <c r="E99" i="13"/>
  <c r="E98" i="13" s="1"/>
  <c r="H56" i="13"/>
  <c r="I19" i="20" l="1"/>
  <c r="F128" i="12"/>
  <c r="F56" i="13"/>
  <c r="E56" i="13"/>
  <c r="F55" i="13"/>
  <c r="E55" i="13"/>
  <c r="K54" i="13"/>
  <c r="J54" i="13"/>
  <c r="I54" i="13"/>
  <c r="G54" i="13"/>
  <c r="G53" i="13"/>
  <c r="E53" i="13" s="1"/>
  <c r="F53" i="13"/>
  <c r="G52" i="13"/>
  <c r="G46" i="13" s="1"/>
  <c r="K51" i="13"/>
  <c r="J51" i="13"/>
  <c r="I51" i="13"/>
  <c r="H51" i="13"/>
  <c r="I17" i="20" l="1"/>
  <c r="I20" i="20" s="1"/>
  <c r="G19" i="20"/>
  <c r="G17" i="20" s="1"/>
  <c r="G20" i="20" s="1"/>
  <c r="E52" i="13"/>
  <c r="F52" i="13"/>
  <c r="F51" i="13" s="1"/>
  <c r="H45" i="13"/>
  <c r="G51" i="13"/>
  <c r="H54" i="13"/>
  <c r="E54" i="13"/>
  <c r="E51" i="13"/>
  <c r="F54" i="13"/>
  <c r="F126" i="12"/>
  <c r="H12" i="3"/>
  <c r="I12" i="3"/>
  <c r="G85" i="13" l="1"/>
  <c r="G29" i="13"/>
  <c r="F43" i="13" l="1"/>
  <c r="E43" i="13"/>
  <c r="E42" i="13" s="1"/>
  <c r="K42" i="13"/>
  <c r="J42" i="13"/>
  <c r="I42" i="13"/>
  <c r="H42" i="13"/>
  <c r="G42" i="13"/>
  <c r="F42" i="13" l="1"/>
  <c r="G129" i="13" l="1"/>
  <c r="G124" i="13"/>
  <c r="G122" i="13"/>
  <c r="G120" i="13"/>
  <c r="G116" i="13"/>
  <c r="G95" i="13"/>
  <c r="G93" i="13"/>
  <c r="G91" i="13"/>
  <c r="G89" i="13"/>
  <c r="G87" i="13"/>
  <c r="G81" i="13"/>
  <c r="G77" i="13"/>
  <c r="G75" i="13"/>
  <c r="G50" i="13"/>
  <c r="G41" i="13"/>
  <c r="F91" i="12" s="1"/>
  <c r="F90" i="12" s="1"/>
  <c r="G39" i="13"/>
  <c r="F85" i="12" s="1"/>
  <c r="G27" i="13"/>
  <c r="G37" i="13"/>
  <c r="G33" i="13"/>
  <c r="G17" i="13"/>
  <c r="G15" i="13"/>
  <c r="G45" i="13" l="1"/>
  <c r="H18" i="19"/>
  <c r="E50" i="13"/>
  <c r="E59" i="13"/>
  <c r="E58" i="13"/>
  <c r="G18" i="19" l="1"/>
  <c r="H17" i="19"/>
  <c r="F303" i="12"/>
  <c r="F302" i="12"/>
  <c r="F301" i="12"/>
  <c r="F299" i="12"/>
  <c r="F300" i="12"/>
  <c r="F230" i="12"/>
  <c r="F191" i="12"/>
  <c r="F190" i="12"/>
  <c r="F189" i="12"/>
  <c r="F188" i="12"/>
  <c r="F83" i="12"/>
  <c r="F82" i="12"/>
  <c r="F81" i="12"/>
  <c r="F80" i="12"/>
  <c r="F79" i="12"/>
  <c r="F211" i="12"/>
  <c r="F212" i="12"/>
  <c r="F213" i="12"/>
  <c r="F214" i="12"/>
  <c r="F215" i="12"/>
  <c r="H19" i="19" l="1"/>
  <c r="G17" i="19"/>
  <c r="F315" i="12"/>
  <c r="F314" i="12"/>
  <c r="F313" i="12"/>
  <c r="F312" i="12"/>
  <c r="F298" i="12"/>
  <c r="F304" i="12"/>
  <c r="F129" i="13"/>
  <c r="F128" i="13" s="1"/>
  <c r="E129" i="13"/>
  <c r="E128" i="13" s="1"/>
  <c r="K128" i="13"/>
  <c r="J128" i="13"/>
  <c r="I128" i="13"/>
  <c r="H128" i="13"/>
  <c r="G128" i="13"/>
  <c r="F311" i="12" l="1"/>
  <c r="F37" i="13" l="1"/>
  <c r="F36" i="13" s="1"/>
  <c r="E37" i="13"/>
  <c r="E36" i="13" s="1"/>
  <c r="K36" i="13"/>
  <c r="J36" i="13"/>
  <c r="I36" i="13"/>
  <c r="H36" i="13"/>
  <c r="G36" i="13"/>
  <c r="F39" i="13"/>
  <c r="F38" i="13" s="1"/>
  <c r="E39" i="13"/>
  <c r="E38" i="13" s="1"/>
  <c r="K38" i="13"/>
  <c r="J38" i="13"/>
  <c r="I38" i="13"/>
  <c r="H38" i="13"/>
  <c r="G38" i="13"/>
  <c r="G13" i="13"/>
  <c r="E11" i="3" l="1"/>
  <c r="G12" i="13"/>
  <c r="F78" i="12"/>
  <c r="F84" i="12"/>
  <c r="F97" i="13" l="1"/>
  <c r="E97" i="13"/>
  <c r="E96" i="13" s="1"/>
  <c r="K96" i="13"/>
  <c r="J96" i="13"/>
  <c r="I96" i="13"/>
  <c r="H96" i="13"/>
  <c r="G96" i="13"/>
  <c r="F96" i="13" l="1"/>
  <c r="F228" i="12"/>
  <c r="F297" i="12" l="1"/>
  <c r="F296" i="12"/>
  <c r="F295" i="12"/>
  <c r="F294" i="12"/>
  <c r="F293" i="12"/>
  <c r="F291" i="12"/>
  <c r="F290" i="12"/>
  <c r="F289" i="12"/>
  <c r="F288" i="12"/>
  <c r="F287" i="12"/>
  <c r="F285" i="12"/>
  <c r="F284" i="12"/>
  <c r="F283" i="12"/>
  <c r="F282" i="12"/>
  <c r="F281" i="12"/>
  <c r="F279" i="12"/>
  <c r="F278" i="12"/>
  <c r="F277" i="12"/>
  <c r="F276" i="12"/>
  <c r="F275" i="12"/>
  <c r="F273" i="12"/>
  <c r="F272" i="12"/>
  <c r="F271" i="12"/>
  <c r="F270" i="12"/>
  <c r="F269" i="12"/>
  <c r="F267" i="12"/>
  <c r="F266" i="12"/>
  <c r="F265" i="12"/>
  <c r="F264" i="12"/>
  <c r="F261" i="12"/>
  <c r="F260" i="12"/>
  <c r="F259" i="12"/>
  <c r="F258" i="12"/>
  <c r="F257" i="12"/>
  <c r="F79" i="13"/>
  <c r="F209" i="12"/>
  <c r="F208" i="12"/>
  <c r="F207" i="12"/>
  <c r="F206" i="12"/>
  <c r="F205" i="12"/>
  <c r="F203" i="12"/>
  <c r="F202" i="12"/>
  <c r="F201" i="12"/>
  <c r="F200" i="12"/>
  <c r="F199" i="12"/>
  <c r="F197" i="12"/>
  <c r="F196" i="12"/>
  <c r="F195" i="12"/>
  <c r="F194" i="12"/>
  <c r="F193" i="12"/>
  <c r="F187" i="12"/>
  <c r="F185" i="12"/>
  <c r="F184" i="12"/>
  <c r="F183" i="12"/>
  <c r="F182" i="12"/>
  <c r="F181" i="12"/>
  <c r="F179" i="12"/>
  <c r="F178" i="12"/>
  <c r="F177" i="12"/>
  <c r="F176" i="12"/>
  <c r="F175" i="12"/>
  <c r="F173" i="12"/>
  <c r="F172" i="12"/>
  <c r="F171" i="12"/>
  <c r="F170" i="12"/>
  <c r="F169" i="12"/>
  <c r="F167" i="12"/>
  <c r="F166" i="12"/>
  <c r="F165" i="12"/>
  <c r="F164" i="12"/>
  <c r="F163" i="12"/>
  <c r="F161" i="12"/>
  <c r="F160" i="12"/>
  <c r="F159" i="12"/>
  <c r="F158" i="12"/>
  <c r="F157" i="12"/>
  <c r="F155" i="12"/>
  <c r="F154" i="12"/>
  <c r="F153" i="12"/>
  <c r="F152" i="12"/>
  <c r="F151" i="12"/>
  <c r="F149" i="12"/>
  <c r="F148" i="12"/>
  <c r="F147" i="12"/>
  <c r="F146" i="12"/>
  <c r="F77" i="12" l="1"/>
  <c r="F76" i="12"/>
  <c r="F75" i="12"/>
  <c r="F74" i="12"/>
  <c r="F71" i="12"/>
  <c r="F70" i="12"/>
  <c r="F69" i="12"/>
  <c r="F68" i="12"/>
  <c r="F65" i="12"/>
  <c r="F64" i="12"/>
  <c r="F63" i="12"/>
  <c r="F62" i="12"/>
  <c r="F59" i="12"/>
  <c r="F58" i="12"/>
  <c r="F57" i="12"/>
  <c r="F56" i="12"/>
  <c r="F55" i="12"/>
  <c r="F53" i="12"/>
  <c r="F52" i="12"/>
  <c r="F51" i="12"/>
  <c r="F50" i="12"/>
  <c r="F49" i="12"/>
  <c r="F47" i="12" l="1"/>
  <c r="F46" i="12"/>
  <c r="F45" i="12"/>
  <c r="F44" i="12"/>
  <c r="F43" i="12"/>
  <c r="F41" i="12"/>
  <c r="F40" i="12"/>
  <c r="F39" i="12"/>
  <c r="F38" i="12"/>
  <c r="F37" i="12"/>
  <c r="F35" i="12"/>
  <c r="F34" i="12"/>
  <c r="F33" i="12"/>
  <c r="F32" i="12"/>
  <c r="F31" i="12"/>
  <c r="F29" i="12"/>
  <c r="F28" i="12"/>
  <c r="F27" i="12"/>
  <c r="F26" i="12"/>
  <c r="F25" i="12"/>
  <c r="F23" i="12"/>
  <c r="F22" i="12"/>
  <c r="F21" i="12"/>
  <c r="F13" i="12"/>
  <c r="F251" i="12" l="1"/>
  <c r="F250" i="12"/>
  <c r="F249" i="12"/>
  <c r="F248" i="12"/>
  <c r="F247" i="12"/>
  <c r="F227" i="12"/>
  <c r="F226" i="12"/>
  <c r="F225" i="12"/>
  <c r="F224" i="12"/>
  <c r="F223" i="12"/>
  <c r="K102" i="13"/>
  <c r="J102" i="13"/>
  <c r="I102" i="13"/>
  <c r="H102" i="13"/>
  <c r="G102" i="13"/>
  <c r="F103" i="13"/>
  <c r="E103" i="13"/>
  <c r="E102" i="13" s="1"/>
  <c r="K94" i="13"/>
  <c r="J94" i="13"/>
  <c r="I94" i="13"/>
  <c r="H94" i="13"/>
  <c r="G94" i="13"/>
  <c r="F95" i="13"/>
  <c r="E95" i="13"/>
  <c r="E94" i="13" s="1"/>
  <c r="F221" i="12"/>
  <c r="F220" i="12"/>
  <c r="F219" i="12"/>
  <c r="F218" i="12"/>
  <c r="F217" i="12"/>
  <c r="K92" i="13"/>
  <c r="J92" i="13"/>
  <c r="I92" i="13"/>
  <c r="H92" i="13"/>
  <c r="G92" i="13"/>
  <c r="F93" i="13"/>
  <c r="E93" i="13"/>
  <c r="E92" i="13" s="1"/>
  <c r="F91" i="13"/>
  <c r="E91" i="13"/>
  <c r="E90" i="13" s="1"/>
  <c r="K90" i="13"/>
  <c r="J90" i="13"/>
  <c r="I90" i="13"/>
  <c r="H90" i="13"/>
  <c r="G90" i="13"/>
  <c r="G68" i="13"/>
  <c r="F134" i="12"/>
  <c r="F119" i="12"/>
  <c r="F118" i="12"/>
  <c r="F117" i="12"/>
  <c r="F116" i="12"/>
  <c r="F113" i="12"/>
  <c r="F112" i="12"/>
  <c r="F111" i="12"/>
  <c r="F110" i="12"/>
  <c r="F115" i="12"/>
  <c r="F109" i="12"/>
  <c r="F102" i="13" l="1"/>
  <c r="F92" i="13"/>
  <c r="F94" i="13"/>
  <c r="F90" i="13"/>
  <c r="F222" i="12"/>
  <c r="F246" i="12"/>
  <c r="F216" i="12"/>
  <c r="F210" i="12"/>
  <c r="F132" i="12"/>
  <c r="F114" i="12"/>
  <c r="F108" i="12"/>
  <c r="G26" i="13"/>
  <c r="F41" i="13"/>
  <c r="F40" i="13" s="1"/>
  <c r="E41" i="13"/>
  <c r="E40" i="13" s="1"/>
  <c r="K40" i="13"/>
  <c r="J40" i="13"/>
  <c r="I40" i="13"/>
  <c r="H40" i="13"/>
  <c r="G40" i="13"/>
  <c r="F96" i="12" l="1"/>
  <c r="G57" i="13"/>
  <c r="H57" i="13"/>
  <c r="I57" i="13"/>
  <c r="J57" i="13"/>
  <c r="K57" i="13"/>
  <c r="F58" i="13"/>
  <c r="F59" i="13"/>
  <c r="E57" i="13" l="1"/>
  <c r="F57" i="13"/>
  <c r="F50" i="13"/>
  <c r="K49" i="13"/>
  <c r="J49" i="13"/>
  <c r="I49" i="13"/>
  <c r="H49" i="13"/>
  <c r="G49" i="13"/>
  <c r="E49" i="13" l="1"/>
  <c r="F49" i="13"/>
  <c r="F263" i="12" l="1"/>
  <c r="F310" i="12" l="1"/>
  <c r="F256" i="12"/>
  <c r="F274" i="12"/>
  <c r="F268" i="12"/>
  <c r="F262" i="12"/>
  <c r="F280" i="12"/>
  <c r="F292" i="12"/>
  <c r="F286" i="12"/>
  <c r="I252" i="12" l="1"/>
  <c r="F71" i="13"/>
  <c r="E71" i="13"/>
  <c r="K70" i="13"/>
  <c r="J70" i="13"/>
  <c r="I70" i="13"/>
  <c r="H70" i="13"/>
  <c r="G70" i="13"/>
  <c r="F73" i="13"/>
  <c r="E73" i="13"/>
  <c r="K72" i="13"/>
  <c r="J72" i="13"/>
  <c r="I72" i="13"/>
  <c r="H72" i="13"/>
  <c r="G72" i="13"/>
  <c r="F75" i="13"/>
  <c r="E75" i="13"/>
  <c r="K74" i="13"/>
  <c r="J74" i="13"/>
  <c r="I74" i="13"/>
  <c r="H74" i="13"/>
  <c r="G74" i="13"/>
  <c r="F70" i="13" l="1"/>
  <c r="F74" i="13"/>
  <c r="F72" i="13"/>
  <c r="F19" i="13"/>
  <c r="F18" i="13" s="1"/>
  <c r="E19" i="13"/>
  <c r="E18" i="13" s="1"/>
  <c r="K18" i="13"/>
  <c r="J18" i="13"/>
  <c r="I18" i="13"/>
  <c r="H18" i="13"/>
  <c r="G18" i="13"/>
  <c r="F21" i="13"/>
  <c r="F20" i="13" s="1"/>
  <c r="E21" i="13"/>
  <c r="E20" i="13" s="1"/>
  <c r="K20" i="13"/>
  <c r="J20" i="13"/>
  <c r="I20" i="13"/>
  <c r="H20" i="13"/>
  <c r="G20" i="13"/>
  <c r="F23" i="13"/>
  <c r="F22" i="13" s="1"/>
  <c r="E23" i="13"/>
  <c r="E22" i="13" s="1"/>
  <c r="K22" i="13"/>
  <c r="J22" i="13"/>
  <c r="I22" i="13"/>
  <c r="H22" i="13"/>
  <c r="G22" i="13"/>
  <c r="N27" i="12" l="1"/>
  <c r="F156" i="12"/>
  <c r="F162" i="12"/>
  <c r="F124" i="13" l="1"/>
  <c r="F123" i="13" s="1"/>
  <c r="E124" i="13"/>
  <c r="E123" i="13" s="1"/>
  <c r="K123" i="13"/>
  <c r="J123" i="13"/>
  <c r="I123" i="13"/>
  <c r="H123" i="13"/>
  <c r="G123" i="13"/>
  <c r="J119" i="13" l="1"/>
  <c r="H119" i="13"/>
  <c r="F120" i="13"/>
  <c r="F119" i="13" s="1"/>
  <c r="E120" i="13"/>
  <c r="E119" i="13" s="1"/>
  <c r="K119" i="13"/>
  <c r="I119" i="13"/>
  <c r="G119" i="13"/>
  <c r="K121" i="13"/>
  <c r="J121" i="13"/>
  <c r="H121" i="13"/>
  <c r="G121" i="13"/>
  <c r="E122" i="13"/>
  <c r="E121" i="13" s="1"/>
  <c r="I121" i="13"/>
  <c r="K111" i="13"/>
  <c r="J111" i="13"/>
  <c r="F112" i="13"/>
  <c r="F111" i="13" s="1"/>
  <c r="H111" i="13"/>
  <c r="G111" i="13"/>
  <c r="E112" i="13"/>
  <c r="E111" i="13" s="1"/>
  <c r="J113" i="13"/>
  <c r="I113" i="13"/>
  <c r="E114" i="13"/>
  <c r="E113" i="13" s="1"/>
  <c r="K113" i="13"/>
  <c r="G113" i="13"/>
  <c r="K115" i="13"/>
  <c r="J115" i="13"/>
  <c r="H115" i="13"/>
  <c r="G115" i="13"/>
  <c r="F116" i="13"/>
  <c r="F115" i="13" s="1"/>
  <c r="E116" i="13"/>
  <c r="E115" i="13" s="1"/>
  <c r="I115" i="13"/>
  <c r="F114" i="13" l="1"/>
  <c r="F113" i="13" s="1"/>
  <c r="F122" i="13"/>
  <c r="F121" i="13" s="1"/>
  <c r="I111" i="13"/>
  <c r="H113" i="13"/>
  <c r="J14" i="17" l="1"/>
  <c r="J13" i="17"/>
  <c r="J13" i="3"/>
  <c r="F145" i="12" l="1"/>
  <c r="F73" i="12"/>
  <c r="F67" i="12"/>
  <c r="F61" i="12"/>
  <c r="N28" i="12"/>
  <c r="F20" i="12" l="1"/>
  <c r="F19" i="12"/>
  <c r="F17" i="12"/>
  <c r="F16" i="12"/>
  <c r="F15" i="12"/>
  <c r="F144" i="12" l="1"/>
  <c r="F150" i="12"/>
  <c r="F69" i="13"/>
  <c r="E87" i="13"/>
  <c r="E86" i="13" s="1"/>
  <c r="G86" i="13"/>
  <c r="F87" i="13"/>
  <c r="G88" i="13"/>
  <c r="E89" i="13"/>
  <c r="E88" i="13" s="1"/>
  <c r="F89" i="13"/>
  <c r="E85" i="13"/>
  <c r="F85" i="13"/>
  <c r="F83" i="13"/>
  <c r="E83" i="13"/>
  <c r="E81" i="13"/>
  <c r="F81" i="13"/>
  <c r="E77" i="13"/>
  <c r="F77" i="13"/>
  <c r="E69" i="13"/>
  <c r="E35" i="13"/>
  <c r="E33" i="13"/>
  <c r="E29" i="13"/>
  <c r="E27" i="13"/>
  <c r="E15" i="13"/>
  <c r="E17" i="13"/>
  <c r="E25" i="13"/>
  <c r="F30" i="12" l="1"/>
  <c r="F66" i="12"/>
  <c r="F72" i="12"/>
  <c r="F36" i="12"/>
  <c r="F24" i="12"/>
  <c r="F60" i="12"/>
  <c r="F18" i="12"/>
  <c r="J86" i="13"/>
  <c r="K86" i="13"/>
  <c r="I86" i="13"/>
  <c r="H86" i="13"/>
  <c r="F27" i="13"/>
  <c r="F26" i="13" s="1"/>
  <c r="E26" i="13"/>
  <c r="K26" i="13"/>
  <c r="J26" i="13"/>
  <c r="I26" i="13"/>
  <c r="H26" i="13"/>
  <c r="F86" i="13" l="1"/>
  <c r="F198" i="12"/>
  <c r="F204" i="12"/>
  <c r="J88" i="13"/>
  <c r="K88" i="13"/>
  <c r="I88" i="13"/>
  <c r="H88" i="13"/>
  <c r="F88" i="13" l="1"/>
  <c r="F48" i="12"/>
  <c r="H46" i="13"/>
  <c r="H63" i="13" s="1"/>
  <c r="I63" i="13"/>
  <c r="J63" i="13"/>
  <c r="J134" i="13" s="1"/>
  <c r="F33" i="10" s="1"/>
  <c r="K63" i="13"/>
  <c r="K134" i="13" s="1"/>
  <c r="G33" i="10" s="1"/>
  <c r="G63" i="13"/>
  <c r="E12" i="3" s="1"/>
  <c r="F104" i="12"/>
  <c r="H134" i="13" l="1"/>
  <c r="D33" i="10" s="1"/>
  <c r="F12" i="3"/>
  <c r="I134" i="13"/>
  <c r="E33" i="10" s="1"/>
  <c r="G12" i="3"/>
  <c r="E45" i="13"/>
  <c r="K44" i="13"/>
  <c r="H44" i="13"/>
  <c r="J44" i="13"/>
  <c r="E46" i="13"/>
  <c r="E63" i="13"/>
  <c r="G134" i="13"/>
  <c r="I44" i="13"/>
  <c r="G44" i="13"/>
  <c r="F103" i="12" s="1"/>
  <c r="F46" i="13"/>
  <c r="F33" i="13"/>
  <c r="F32" i="13" s="1"/>
  <c r="E32" i="13"/>
  <c r="K32" i="13"/>
  <c r="J32" i="13"/>
  <c r="I32" i="13"/>
  <c r="H32" i="13"/>
  <c r="G32" i="13"/>
  <c r="J12" i="3" l="1"/>
  <c r="E44" i="13"/>
  <c r="E134" i="13"/>
  <c r="C33" i="10"/>
  <c r="H30" i="16"/>
  <c r="H10" i="16"/>
  <c r="H11" i="16"/>
  <c r="H25" i="16"/>
  <c r="H26" i="16"/>
  <c r="H13" i="16"/>
  <c r="H9" i="16"/>
  <c r="F126" i="13" l="1"/>
  <c r="F125" i="13" s="1"/>
  <c r="E126" i="13"/>
  <c r="E125" i="13" s="1"/>
  <c r="K125" i="13"/>
  <c r="J125" i="13"/>
  <c r="I125" i="13"/>
  <c r="H125" i="13"/>
  <c r="G125" i="13"/>
  <c r="F118" i="13"/>
  <c r="F117" i="13" s="1"/>
  <c r="E118" i="13"/>
  <c r="E117" i="13" s="1"/>
  <c r="K117" i="13"/>
  <c r="J117" i="13"/>
  <c r="I117" i="13"/>
  <c r="H117" i="13"/>
  <c r="G117" i="13"/>
  <c r="F107" i="13"/>
  <c r="E107" i="13"/>
  <c r="K84" i="13"/>
  <c r="J84" i="13"/>
  <c r="I84" i="13"/>
  <c r="H84" i="13"/>
  <c r="G84" i="13"/>
  <c r="K82" i="13"/>
  <c r="J82" i="13"/>
  <c r="I82" i="13"/>
  <c r="H82" i="13"/>
  <c r="G82" i="13"/>
  <c r="K80" i="13"/>
  <c r="J80" i="13"/>
  <c r="I80" i="13"/>
  <c r="H80" i="13"/>
  <c r="G80" i="13"/>
  <c r="K78" i="13"/>
  <c r="J78" i="13"/>
  <c r="I78" i="13"/>
  <c r="H78" i="13"/>
  <c r="G78" i="13"/>
  <c r="K76" i="13"/>
  <c r="J76" i="13"/>
  <c r="I76" i="13"/>
  <c r="H76" i="13"/>
  <c r="G76" i="13"/>
  <c r="E68" i="13"/>
  <c r="K68" i="13"/>
  <c r="J68" i="13"/>
  <c r="I68" i="13"/>
  <c r="H68" i="13"/>
  <c r="F68" i="13"/>
  <c r="F48" i="13"/>
  <c r="F47" i="13" s="1"/>
  <c r="E48" i="13"/>
  <c r="E47" i="13" s="1"/>
  <c r="K47" i="13"/>
  <c r="F125" i="12" s="1"/>
  <c r="J47" i="13"/>
  <c r="F124" i="12" s="1"/>
  <c r="I47" i="13"/>
  <c r="F123" i="12" s="1"/>
  <c r="H47" i="13"/>
  <c r="F122" i="12" s="1"/>
  <c r="G47" i="13"/>
  <c r="F35" i="13"/>
  <c r="F34" i="13" s="1"/>
  <c r="E34" i="13"/>
  <c r="K34" i="13"/>
  <c r="J34" i="13"/>
  <c r="I34" i="13"/>
  <c r="H34" i="13"/>
  <c r="G34" i="13"/>
  <c r="F31" i="13"/>
  <c r="F30" i="13" s="1"/>
  <c r="E31" i="13"/>
  <c r="E30" i="13" s="1"/>
  <c r="K30" i="13"/>
  <c r="J30" i="13"/>
  <c r="I30" i="13"/>
  <c r="H30" i="13"/>
  <c r="G30" i="13"/>
  <c r="F29" i="13"/>
  <c r="F28" i="13" s="1"/>
  <c r="E28" i="13"/>
  <c r="K28" i="13"/>
  <c r="J28" i="13"/>
  <c r="I28" i="13"/>
  <c r="H28" i="13"/>
  <c r="G28" i="13"/>
  <c r="F25" i="13"/>
  <c r="F24" i="13" s="1"/>
  <c r="E24" i="13"/>
  <c r="K24" i="13"/>
  <c r="J24" i="13"/>
  <c r="I24" i="13"/>
  <c r="H24" i="13"/>
  <c r="G24" i="13"/>
  <c r="F17" i="13"/>
  <c r="K16" i="13"/>
  <c r="J16" i="13"/>
  <c r="I16" i="13"/>
  <c r="H16" i="13"/>
  <c r="G16" i="13"/>
  <c r="F15" i="13"/>
  <c r="F14" i="13" s="1"/>
  <c r="E14" i="13"/>
  <c r="K14" i="13"/>
  <c r="J14" i="13"/>
  <c r="I14" i="13"/>
  <c r="H14" i="13"/>
  <c r="G14" i="13"/>
  <c r="F12" i="12" s="1"/>
  <c r="H66" i="13" l="1"/>
  <c r="H105" i="13" s="1"/>
  <c r="G66" i="13"/>
  <c r="I13" i="13"/>
  <c r="I12" i="13" s="1"/>
  <c r="J13" i="13"/>
  <c r="J12" i="13" s="1"/>
  <c r="H13" i="13"/>
  <c r="K13" i="13"/>
  <c r="F120" i="12"/>
  <c r="G110" i="13"/>
  <c r="G105" i="13"/>
  <c r="F82" i="13"/>
  <c r="J66" i="13"/>
  <c r="J105" i="13" s="1"/>
  <c r="J104" i="13" s="1"/>
  <c r="K66" i="13"/>
  <c r="K105" i="13" s="1"/>
  <c r="I66" i="13"/>
  <c r="I65" i="13" s="1"/>
  <c r="H110" i="13"/>
  <c r="H109" i="13" s="1"/>
  <c r="H131" i="13" s="1"/>
  <c r="F13" i="8" s="1"/>
  <c r="F12" i="8" s="1"/>
  <c r="F78" i="13"/>
  <c r="F80" i="13"/>
  <c r="K12" i="13"/>
  <c r="I110" i="13"/>
  <c r="J110" i="13"/>
  <c r="J109" i="13" s="1"/>
  <c r="J131" i="13" s="1"/>
  <c r="K110" i="13"/>
  <c r="K109" i="13" s="1"/>
  <c r="K131" i="13" s="1"/>
  <c r="K130" i="13" s="1"/>
  <c r="F16" i="13"/>
  <c r="E16" i="13"/>
  <c r="F76" i="13"/>
  <c r="F134" i="13"/>
  <c r="B33" i="10" s="1"/>
  <c r="F84" i="13"/>
  <c r="H11" i="3" l="1"/>
  <c r="H10" i="3" s="1"/>
  <c r="Q13" i="13"/>
  <c r="H12" i="13"/>
  <c r="K61" i="13"/>
  <c r="K60" i="13" s="1"/>
  <c r="I11" i="3"/>
  <c r="I10" i="3" s="1"/>
  <c r="G11" i="3"/>
  <c r="I61" i="13"/>
  <c r="F11" i="3"/>
  <c r="J61" i="13"/>
  <c r="J60" i="13" s="1"/>
  <c r="H61" i="13"/>
  <c r="H60" i="13" s="1"/>
  <c r="G61" i="13"/>
  <c r="I12" i="17"/>
  <c r="I11" i="17" s="1"/>
  <c r="K104" i="13"/>
  <c r="I105" i="13"/>
  <c r="I104" i="13" s="1"/>
  <c r="H65" i="13"/>
  <c r="F192" i="12"/>
  <c r="F174" i="12"/>
  <c r="K65" i="13"/>
  <c r="F180" i="12"/>
  <c r="J65" i="13"/>
  <c r="F186" i="12"/>
  <c r="G65" i="13"/>
  <c r="F54" i="12"/>
  <c r="E13" i="13"/>
  <c r="E12" i="13" s="1"/>
  <c r="F13" i="13"/>
  <c r="F12" i="13" s="1"/>
  <c r="E110" i="13"/>
  <c r="E12" i="17"/>
  <c r="E105" i="13"/>
  <c r="E104" i="13" s="1"/>
  <c r="H12" i="17"/>
  <c r="H130" i="13"/>
  <c r="F12" i="17"/>
  <c r="F11" i="17" s="1"/>
  <c r="G109" i="13"/>
  <c r="E66" i="13"/>
  <c r="J130" i="13"/>
  <c r="F107" i="12"/>
  <c r="F45" i="13"/>
  <c r="F44" i="13" s="1"/>
  <c r="F106" i="12"/>
  <c r="I109" i="13"/>
  <c r="I131" i="13" s="1"/>
  <c r="I130" i="13" s="1"/>
  <c r="F110" i="13"/>
  <c r="F63" i="13"/>
  <c r="I13" i="8"/>
  <c r="I12" i="8" s="1"/>
  <c r="H13" i="8"/>
  <c r="H12" i="8" s="1"/>
  <c r="F66" i="13"/>
  <c r="H104" i="13"/>
  <c r="G104" i="13"/>
  <c r="K133" i="13" l="1"/>
  <c r="K132" i="13" s="1"/>
  <c r="H11" i="17"/>
  <c r="G10" i="3"/>
  <c r="I133" i="13"/>
  <c r="E32" i="10" s="1"/>
  <c r="E34" i="10" s="1"/>
  <c r="I60" i="13"/>
  <c r="F10" i="3"/>
  <c r="J133" i="13"/>
  <c r="J132" i="13" s="1"/>
  <c r="H133" i="13"/>
  <c r="E109" i="13"/>
  <c r="G131" i="13"/>
  <c r="E131" i="13" s="1"/>
  <c r="G60" i="13"/>
  <c r="E65" i="13"/>
  <c r="F105" i="13"/>
  <c r="G12" i="17"/>
  <c r="G11" i="17" s="1"/>
  <c r="F168" i="12"/>
  <c r="I138" i="12" s="1"/>
  <c r="F42" i="12"/>
  <c r="I10" i="12" s="1"/>
  <c r="F65" i="13"/>
  <c r="E61" i="13"/>
  <c r="E60" i="13" s="1"/>
  <c r="F61" i="13"/>
  <c r="E11" i="17"/>
  <c r="G13" i="8"/>
  <c r="G12" i="8" s="1"/>
  <c r="F109" i="13"/>
  <c r="F102" i="12"/>
  <c r="I11" i="12" s="1"/>
  <c r="F104" i="13"/>
  <c r="I12" i="12" l="1"/>
  <c r="G32" i="10"/>
  <c r="G34" i="10" s="1"/>
  <c r="F60" i="13"/>
  <c r="E13" i="8"/>
  <c r="J13" i="8" s="1"/>
  <c r="J12" i="8" s="1"/>
  <c r="J12" i="17"/>
  <c r="J11" i="17" s="1"/>
  <c r="E10" i="3"/>
  <c r="J11" i="3"/>
  <c r="J10" i="3" s="1"/>
  <c r="G130" i="13"/>
  <c r="E130" i="13" s="1"/>
  <c r="F131" i="13"/>
  <c r="G133" i="13"/>
  <c r="C32" i="10" s="1"/>
  <c r="I132" i="13"/>
  <c r="F32" i="10"/>
  <c r="F34" i="10" s="1"/>
  <c r="H132" i="13"/>
  <c r="D32" i="10"/>
  <c r="D34" i="10" s="1"/>
  <c r="E12" i="8" l="1"/>
  <c r="E133" i="13"/>
  <c r="G132" i="13"/>
  <c r="F132" i="13" s="1"/>
  <c r="F133" i="13"/>
  <c r="B32" i="10" s="1"/>
  <c r="B34" i="10" s="1"/>
  <c r="F130" i="13"/>
  <c r="C34" i="10"/>
  <c r="K33" i="10" s="1"/>
  <c r="E132" i="13" l="1"/>
</calcChain>
</file>

<file path=xl/sharedStrings.xml><?xml version="1.0" encoding="utf-8"?>
<sst xmlns="http://schemas.openxmlformats.org/spreadsheetml/2006/main" count="1269" uniqueCount="439">
  <si>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</si>
  <si>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</si>
  <si>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</si>
  <si>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</si>
  <si>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</si>
  <si>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</si>
  <si>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</si>
  <si>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</si>
  <si>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</si>
  <si>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</si>
  <si>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</si>
  <si>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</si>
  <si>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</si>
  <si>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</si>
  <si>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</si>
  <si>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</si>
  <si>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</si>
  <si>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</si>
  <si>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</si>
  <si>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</si>
  <si>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</si>
  <si>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</si>
  <si>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</si>
  <si>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</si>
  <si>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</si>
  <si>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</si>
  <si>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</si>
  <si>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</si>
  <si>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</si>
  <si>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</si>
  <si>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</si>
  <si>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</si>
  <si>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</si>
  <si>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</si>
  <si>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</si>
  <si>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</si>
  <si>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</si>
  <si>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</si>
  <si>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</si>
  <si>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</si>
  <si>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</si>
  <si>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</si>
  <si>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</si>
  <si>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</si>
  <si>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</si>
  <si>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</si>
  <si>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</si>
  <si>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</si>
  <si>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</si>
  <si>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</si>
  <si>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</si>
  <si>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</si>
  <si>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</si>
  <si>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</si>
  <si>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</si>
  <si>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</si>
  <si>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</si>
  <si>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</si>
  <si>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</si>
  <si>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</si>
  <si>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</si>
  <si>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</si>
  <si>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</si>
  <si>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</si>
  <si>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</si>
  <si>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</si>
  <si>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</si>
  <si>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</si>
  <si>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</si>
  <si>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</si>
  <si>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</si>
  <si>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МКУ РГО «Комитет по физической культуре и спорту»</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</si>
  <si>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</si>
  <si>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</si>
  <si>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</si>
  <si>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</si>
  <si>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</si>
  <si>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</si>
  <si>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</si>
  <si>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</si>
  <si>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</si>
  <si>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</si>
  <si>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</si>
  <si>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</si>
  <si>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</si>
  <si>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</si>
  <si>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</si>
  <si>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</si>
  <si>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</si>
  <si>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МКУ РГО "Комитет по физической культуре и спорту"</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</si>
  <si>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</si>
  <si>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</si>
  <si>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</si>
  <si>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6 Муниципальной программы. </t>
    </r>
  </si>
  <si>
    <t>2020 год</t>
  </si>
  <si>
    <t>2021 год</t>
  </si>
  <si>
    <t>2022 год</t>
  </si>
  <si>
    <t xml:space="preserve">2020 год       </t>
  </si>
  <si>
    <t xml:space="preserve">2021 год       </t>
  </si>
  <si>
    <t xml:space="preserve">2022 год       </t>
  </si>
  <si>
    <t xml:space="preserve">2020 год </t>
  </si>
  <si>
    <t xml:space="preserve">2021 год </t>
  </si>
  <si>
    <t xml:space="preserve">2022 год </t>
  </si>
  <si>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</si>
  <si>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</si>
  <si>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</si>
  <si>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</si>
  <si>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</si>
  <si>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</si>
  <si>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</si>
  <si>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</si>
  <si>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</si>
  <si>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</si>
  <si>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Муниципальное казенное учреждение Рузского городского округа "Комитет по физической культуре и спорту"</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</si>
  <si>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</si>
  <si>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</si>
  <si>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</si>
  <si>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</si>
  <si>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</si>
  <si>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</si>
  <si>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8 к Программе).</t>
    </r>
  </si>
  <si>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</si>
  <si>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</si>
  <si>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</si>
  <si>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</si>
  <si>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</si>
  <si>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</si>
  <si>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</si>
  <si>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</si>
  <si>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</si>
  <si>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</si>
  <si>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</si>
  <si>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</si>
  <si>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</si>
  <si>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</si>
  <si>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</si>
  <si>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</si>
  <si>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</si>
  <si>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</si>
  <si>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</si>
  <si>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Количество плоскостных спортивных сооружений, на которых проведен капитальный ремонт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</si>
  <si>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</si>
  <si>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</si>
  <si>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</si>
  <si>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</si>
  <si>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</si>
  <si>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</si>
  <si>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</si>
  <si>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</si>
  <si>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</si>
  <si>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</si>
  <si>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</si>
  <si>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</si>
  <si>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</si>
  <si>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</si>
  <si>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</si>
  <si>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МКУ РГО "Комитет по физической культуре и спорту", 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</si>
  <si>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</si>
  <si>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Комитета по физической культуре спорту.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населения района.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горордском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районе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районе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</si>
  <si>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№2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</si>
  <si>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</si>
  <si>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</si>
  <si>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</si>
  <si>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</si>
  <si>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</si>
  <si>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</si>
  <si>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</si>
  <si>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</si>
  <si>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</si>
  <si>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</si>
  <si>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</si>
  <si>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</si>
  <si>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</si>
  <si>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</si>
  <si>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</si>
  <si>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</si>
  <si>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</si>
  <si>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</si>
  <si>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</si>
  <si>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</si>
  <si>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</si>
  <si>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</si>
  <si>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Текущее содержание имущества</t>
  </si>
  <si>
    <t>Приобретение материальных запасов</t>
  </si>
  <si>
    <t xml:space="preserve">Расходы по использованию ИКТ
</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</si>
  <si>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районного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</si>
  <si>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</si>
  <si>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</si>
  <si>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</si>
  <si>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</si>
  <si>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</si>
  <si>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</si>
  <si>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</si>
  <si>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</si>
  <si>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</si>
  <si>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</si>
  <si>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</si>
  <si>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</si>
  <si>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</si>
  <si>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</si>
  <si>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</si>
  <si>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</si>
  <si>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</si>
  <si>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</si>
  <si>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</si>
  <si>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</si>
  <si>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</si>
  <si>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</si>
  <si>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</si>
  <si>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</si>
  <si>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</si>
  <si>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</si>
  <si>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</si>
  <si>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</si>
  <si>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</si>
  <si>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</si>
  <si>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</si>
  <si>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</si>
  <si>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</si>
  <si>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</si>
  <si>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</si>
  <si>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</si>
  <si>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</si>
  <si>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</si>
  <si>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</si>
  <si>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</si>
  <si>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</si>
  <si>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</si>
  <si>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</si>
  <si>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</si>
  <si>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</si>
  <si>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</si>
  <si>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</si>
  <si>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</si>
  <si>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</si>
  <si>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</si>
  <si>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</si>
  <si>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</si>
  <si>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</si>
  <si>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</si>
  <si>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</si>
  <si>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</si>
  <si>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</si>
  <si>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</si>
  <si>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</si>
  <si>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</si>
  <si>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</si>
  <si>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</si>
  <si>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</si>
  <si>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</si>
  <si>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</si>
  <si>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</si>
  <si>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</si>
  <si>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</si>
  <si>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</si>
  <si>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</si>
  <si>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</si>
  <si>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</si>
  <si>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</si>
  <si>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</si>
  <si>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</si>
  <si>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</si>
  <si>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</si>
  <si>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</si>
  <si>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</si>
  <si>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</si>
  <si>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</si>
  <si>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</si>
  <si>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</si>
  <si>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</si>
  <si>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</si>
  <si>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</si>
  <si>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</si>
  <si>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</si>
  <si>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</si>
  <si>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</si>
  <si>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</si>
  <si>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</si>
  <si>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</si>
  <si>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</si>
  <si>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</si>
  <si>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</si>
  <si>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</si>
  <si>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</si>
  <si>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</si>
  <si>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</si>
  <si>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</si>
  <si>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</si>
  <si>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</si>
  <si>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</si>
  <si>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</si>
  <si>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</si>
  <si>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</si>
  <si>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</si>
  <si>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</si>
  <si>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</si>
  <si>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</si>
  <si>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</si>
  <si>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</si>
  <si>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</si>
  <si>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</si>
  <si>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</si>
  <si>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</si>
  <si>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</si>
  <si>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Эффективности взаимодействия органов исполнительной власти субъектов
Российской Федерации (органов местного самоуправления) и СО НКОв
вопросах оказания услуг (работ) населению в сфере физической культуры и
спортапосредством систематизации существующей нормативно-правовой
базы, методических основ и регионального опыта.</t>
  </si>
  <si>
    <t>1.18.</t>
  </si>
  <si>
    <t>1.19.</t>
  </si>
  <si>
    <t>Доля населения, выполнившего нормативы испытаний (тестов) Всероссийского комплекса «Готов к труду и обороне» (ГТО в общей численности населения, принявшего участие в испытаниях (тестах)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</si>
  <si>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</si>
  <si>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(Приоритетный)</t>
  </si>
  <si>
    <t xml:space="preserve">Доля детей и молодежи, систематически занимающихся физической культурой 
и спортом, в общей численности детей и молодежи 
</t>
  </si>
  <si>
    <t>-</t>
  </si>
  <si>
    <t>1 группа</t>
  </si>
  <si>
    <t>Количество установленных скейт-парков в муниципальном образовании Московской области</t>
  </si>
  <si>
    <t>Количество установленных плоскостных спортивных сооружений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</si>
  <si>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</si>
  <si>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</si>
  <si>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Макропоказатель – Эффективность использования существующих объектов спорта (отношение фактической посещаемости к нормативной пропускной способности)</t>
  </si>
  <si>
    <t>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</si>
  <si>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</si>
  <si>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граждан старшего возраста, систематически занимающихся физической культурой и спортом в общей численности граждан старшего возраста</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</si>
  <si>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</si>
  <si>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</si>
  <si>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</si>
  <si>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</si>
  <si>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</si>
  <si>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Уз = Фз / Мс х 100%, где
Уз – уровень загруженности спортивных сооружений;
Фз – фактическая годовая загруженность спортивных сооружений, человек;              
Мс – годовая мощность спортивных сооружений, человек.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</si>
  <si>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</si>
  <si>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Значения натуральных показателей в соответствии с объектами, включенными в государственную программу Московской области «Спорт Подмосковья» </t>
  </si>
  <si>
    <t>Значения натуральных показателей в соответствии с объектами, включенными в государственную программу Московской области «Спорт Подмосковья»</t>
  </si>
  <si>
    <t xml:space="preserve">Единица </t>
  </si>
  <si>
    <t xml:space="preserve">Доля детей и молодежи, систематически занимающихся физической культурой 
и спортом, в общей численности детей и молодежи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</si>
  <si>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</si>
  <si>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</si>
  <si>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</si>
  <si>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</si>
  <si>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Дн=ВыпНормГТО/Кжит, где Дн-доля населения, ВыпНормГТО- выполнившие нормативы ГТО, Кжит количества жителей определенной возрастной категории.</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</si>
  <si>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</si>
  <si>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</si>
  <si>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ЭФФЕКТИВНОСТИ РЕАЛИЗАЦИИ МУНИЦИПАЛЬНОЙ 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</si>
  <si>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</si>
  <si>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споривного инвентаря, спортивные снаряды, экипировки, спортивная форма, спортивное оборудование.
</t>
  </si>
  <si>
    <r>
      <rPr>
        <b/>
        <sz val="10"/>
        <color theme="1"/>
        <rFont val="Arial"/>
        <family val="2"/>
        <charset val="204"/>
      </rPr>
      <t>Мероприятие 1.15.</t>
    </r>
    <r>
      <rPr>
        <sz val="10"/>
        <color theme="1"/>
        <rFont val="Arial"/>
        <family val="2"/>
        <charset val="204"/>
      </rPr>
      <t xml:space="preserve">
Обеспечение спортивным инвентарем, оборудованием и экипировкой</t>
    </r>
  </si>
  <si>
    <t xml:space="preserve">Объем          
финансирования 
мероприятия в  
текущем        
финансовом году
(тыс. руб.)
</t>
  </si>
  <si>
    <t>Муниципальное бюджетное  учреждение "Волковское"  Рузского городского округа МО</t>
  </si>
  <si>
    <t>МКУ РГО "Комитет по физической культуре и спорту", МБУ РГО "Спортивная школа Руза", Муниципальное бюджетное  учреждение "Волковское"  Рузского городского округа МО</t>
  </si>
  <si>
    <t>Доля жителей Московской области, занимающихся в спортивных организациях, в общей численности детей и молодежи в возрасте 6-15 лет</t>
  </si>
  <si>
    <t>1.20.</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</si>
  <si>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</si>
  <si>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Км = Км1 + Км2 + ... + Кмn, где: 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t>
  </si>
  <si>
    <t>Кгто = Кгто1 + Кгто2 + ... + Кгтоn, где Кгто - количество приобретенных и установленных площадок для сдачи нормативов комплекса "Готов к труду и обороне" (ГТО) в муниципальных образованиях Московской области; Кгто1 - приобретенная и установленная площадка для сдачи нормативов комплекса "Готов к труду и обороне" (ГТО) в 1-м муниципальном образовании Московской области; Кгто2 - приобретенная и установленная площадка для сдачи нормативов комплекса "Готов к труду и обороне" (ГТО) во 2-м муниципальном образовании Московской области; Кгтоn - приобретенная и установленная площадка для сдачи нормативов комплекса "Готов к труду и обороне" (ГТО) в n-м муниципальном образовании Московской области</t>
  </si>
  <si>
    <t xml:space="preserve">Дзэвсм = Кз / Окз x 100%, где:
Дзэвсм - доля по программам СП;
Кз - количество занимающихся  в организациях Московской области, осуществляющих спортивную подготовку;
Окз - общее количество занимающихся, СП, в организациях Московской области, осуществляющих спортивную подготовку
</t>
  </si>
  <si>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</si>
  <si>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</si>
  <si>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t xml:space="preserve">Затраты на уплату налогов: на нагативное воздействие на окружающую среды, имущество, транспорт, землю. </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</si>
  <si>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</si>
  <si>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</si>
  <si>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2.4.</t>
  </si>
  <si>
    <t>2.5.</t>
  </si>
  <si>
    <t>Проведения комплексных, спортивно-массовых мероприятий среди разных слоев населения по видам спорта и участия спортсменов района в соревнованиях различного уровня;  приобретение наградной атрибутики; Цветы; Призы; Экипировка, предоставление услуг по организации спортивных мероприятий.</t>
  </si>
  <si>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утвержденного Постановлением Главы Рузского Городского Округа от 08.11.2017.№ 2504.
</t>
    </r>
  </si>
  <si>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t>
  </si>
  <si>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безопасности.)Приобретение стенда по охране труда.</t>
  </si>
  <si>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и поверка счетчиков (приборов)  учета, обслуживание,  ремонт газонокосилок, триммеров, садовых тракторов, снегоходов и прочей техники. Услуги по монтажу системы автоматической пожарной сигнализации. Установка колодцев на хоккейных коробках.</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</si>
  <si>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 споривного инвентаря, спортивные снаряды, экипировки, спортивная форма, ГСМ, скребки для уборки снега, приобретение жерналов для тренеров, поставка электрики, поставка строительных материалов.</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</si>
  <si>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</si>
  <si>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r>
      <t xml:space="preserve">Мероприятие 1.15. </t>
    </r>
    <r>
      <rPr>
        <sz val="10"/>
        <color theme="1"/>
        <rFont val="Arial"/>
        <family val="2"/>
        <charset val="204"/>
      </rPr>
      <t>Обеспечение спортивным инвентарем, оборудованием и экипировкой</t>
    </r>
  </si>
  <si>
    <t xml:space="preserve">Поставка экипировки и оборудования, приобретение спортивного инвентаря  для занимающихся в секциях по видам спорта.
</t>
  </si>
  <si>
    <t>от "___"________________2019г. № _________</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</si>
  <si>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Координатор Программы - Заместитель главы администрации Рузского городского округа А.А. Журавлев</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Комитет по физической культуре и спорту.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МКУ РГО "Комитет по физической культуре и спорту",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</si>
  <si>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Заместитель главы администрации Рузского городского округа  А.А. Журавлев</t>
  </si>
  <si>
    <t>Обьем финансирования по годам (тыс.руб.)</t>
  </si>
  <si>
    <t xml:space="preserve">«Справочно: Единовременная пропускная способность Еф (мощность) спортивных сооружений на конец отчётного года» </t>
  </si>
  <si>
    <t>Человек</t>
  </si>
  <si>
    <t>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                                                                                                             Чзи - численность лиц с ограниченными возможностями здоровья и инвалидов, систематически занимающихся физической культурой и спортом, проживающих в Рузском городском округе, согласно данным федерального статистического наблюдения по форме № 3-АФК, утвержденой приказом федеральной службы государственной статистики от 08.10.2018 № 603;                                             Чни - численность жителей Рузского городского округа с ограниченными возможностями здоровья и инвалидов;
Чнп - численность жителей Рузского городского округа с ограниченными возможностями здоровья и инвалидов, имеющих противопоказания для занятий физической культурой и спортом</t>
  </si>
  <si>
    <t>N п/п</t>
  </si>
  <si>
    <t>Предельная стоимость объекта, тыс. руб.</t>
  </si>
  <si>
    <t>Источники финансирования</t>
  </si>
  <si>
    <t>Остаток сметной стоимости до ввода в эксплуатацию, тыс. руб.</t>
  </si>
  <si>
    <t>Приложение № 9</t>
  </si>
  <si>
    <t>Финансирование, тыс. рублей</t>
  </si>
  <si>
    <r>
      <rPr>
        <b/>
        <sz val="10"/>
        <rFont val="Arial"/>
        <family val="2"/>
        <charset val="204"/>
      </rPr>
      <t>Мероприятие 1.17.</t>
    </r>
    <r>
      <rPr>
        <sz val="10"/>
        <rFont val="Arial"/>
        <family val="2"/>
        <charset val="204"/>
      </rPr>
      <t xml:space="preserve">
Проведение  мероприятий  </t>
    </r>
  </si>
  <si>
    <r>
      <t xml:space="preserve">Мероприятие 1.17.
</t>
    </r>
    <r>
      <rPr>
        <sz val="10"/>
        <rFont val="Arial"/>
        <family val="2"/>
        <charset val="204"/>
      </rPr>
      <t xml:space="preserve">Проведение  мероприятий  </t>
    </r>
  </si>
  <si>
    <t>Аренда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t>
  </si>
  <si>
    <r>
      <rPr>
        <b/>
        <sz val="10"/>
        <color theme="1"/>
        <rFont val="Arial"/>
        <family val="2"/>
        <charset val="204"/>
      </rPr>
      <t xml:space="preserve">Мероприятие 1.1. </t>
    </r>
    <r>
      <rPr>
        <sz val="10"/>
        <color theme="1"/>
        <rFont val="Arial"/>
        <family val="2"/>
        <charset val="204"/>
      </rPr>
      <t xml:space="preserve">Проведение  мероприятий  
</t>
    </r>
  </si>
  <si>
    <t xml:space="preserve">Мероприятие 1.1.Проведение  мероприятий  
</t>
  </si>
  <si>
    <t>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участие в спортивных мероприятиях.</t>
  </si>
  <si>
    <r>
      <t xml:space="preserve">Мероприятие 1.18.
</t>
    </r>
    <r>
      <rPr>
        <sz val="10"/>
        <rFont val="Arial"/>
        <family val="2"/>
        <charset val="204"/>
      </rPr>
      <t>Организация и обеспечение подготовки спортивного резерва</t>
    </r>
  </si>
  <si>
    <r>
      <rPr>
        <b/>
        <sz val="10"/>
        <rFont val="Arial"/>
        <family val="2"/>
        <charset val="204"/>
      </rPr>
      <t>Мероприятие 1.18.</t>
    </r>
    <r>
      <rPr>
        <sz val="10"/>
        <rFont val="Arial"/>
        <family val="2"/>
        <charset val="204"/>
      </rPr>
      <t xml:space="preserve">
Организация и обеспечение подготовки спортивного резерва</t>
    </r>
  </si>
  <si>
    <t>Приложение № 10</t>
  </si>
  <si>
    <t xml:space="preserve">Адресный перечень объектов капитального ремонта  </t>
  </si>
  <si>
    <t>к муниципальной программе  «Развитие физической культуры и спорта, формирование здорового образа жизни населения в Рузском городском округе»  на 2018-2022 годы</t>
  </si>
  <si>
    <t>Подпрограммы 1 «Создание условий для развития физической культуры и спорта»</t>
  </si>
  <si>
    <t>Муниципальной программы  «Развитие физической культуры и спорта, формирование здорового образа жизни населения в Рузском городском округе»  на 2018-2022 годы</t>
  </si>
  <si>
    <t>Наименование обьекта (адрес обьекта)</t>
  </si>
  <si>
    <t>Виды работ (капитальный ремонт, вид/тип обьекта)</t>
  </si>
  <si>
    <t>Обьем выполняемых работ</t>
  </si>
  <si>
    <t>Период проведения работ</t>
  </si>
  <si>
    <t>Финансирование из бюджета Рузского городского округа</t>
  </si>
  <si>
    <t>Обьект 1</t>
  </si>
  <si>
    <t>Средства Рузского городского округа</t>
  </si>
  <si>
    <t>Футбольное поля по адресу: п. Тучково ул. Новая дом 17.</t>
  </si>
  <si>
    <t>Всего по мероприятию:</t>
  </si>
  <si>
    <t>Наименование инвестирования, наименование обьекта, адрес обьекта, сведения о государственной регистрации права собственности</t>
  </si>
  <si>
    <t>Годы строительства/реконструкции обьектов муниципальной собственности</t>
  </si>
  <si>
    <t>Мощность (кв. метров, погонных метров, мест, койко-мест и т.д.)</t>
  </si>
  <si>
    <t>Профинансировано на 01.01.2019, тыс.руб.</t>
  </si>
  <si>
    <t>Наименование главного распорядителя средств бюджета Рузского городского округа</t>
  </si>
  <si>
    <t>Администрация Рузского городского округа</t>
  </si>
  <si>
    <r>
      <t xml:space="preserve">Ответственный за выполнение мероприятия:     </t>
    </r>
    <r>
      <rPr>
        <sz val="12"/>
        <color theme="1"/>
        <rFont val="Times New Roman"/>
        <family val="1"/>
        <charset val="204"/>
      </rPr>
      <t>Муниципальное казенное учреждение Рузского городского округа «Комитет по физической культуре и спорту»</t>
    </r>
  </si>
  <si>
    <r>
      <t>Муниципальный заказчик</t>
    </r>
    <r>
      <rPr>
        <sz val="12"/>
        <color theme="1"/>
        <rFont val="Times New Roman"/>
        <family val="1"/>
        <charset val="204"/>
      </rPr>
      <t>:       Муниципальное казенное учреждение Рузского городского округа «Комитет по физической культуре и спорту»</t>
    </r>
  </si>
  <si>
    <t>Средства бюджета Московкой области</t>
  </si>
  <si>
    <t>Приложение № 11</t>
  </si>
  <si>
    <t>Московская область, РГО, п.Тучково, МКР. Восточный</t>
  </si>
  <si>
    <t>Московская область, РГО, с. Покровское ул. Урожайная дом 1А</t>
  </si>
  <si>
    <r>
      <rPr>
        <b/>
        <sz val="10"/>
        <rFont val="Arial"/>
        <family val="2"/>
        <charset val="204"/>
      </rPr>
      <t>Мероприятие 2.2.</t>
    </r>
    <r>
      <rPr>
        <sz val="10"/>
        <rFont val="Arial"/>
        <family val="2"/>
        <charset val="204"/>
      </rPr>
      <t xml:space="preserve">  Проведение ремонтных работ зданий и сооружений</t>
    </r>
  </si>
  <si>
    <r>
      <t xml:space="preserve">Мероприятие 2.2. </t>
    </r>
    <r>
      <rPr>
        <sz val="10"/>
        <rFont val="Arial"/>
        <family val="2"/>
        <charset val="204"/>
      </rPr>
      <t>Проведение ремонтных работ зданий и сооружений</t>
    </r>
  </si>
  <si>
    <r>
      <rPr>
        <b/>
        <sz val="10"/>
        <rFont val="Arial"/>
        <family val="2"/>
        <charset val="204"/>
      </rPr>
      <t>Мероприятие 2.4.</t>
    </r>
    <r>
      <rPr>
        <sz val="10"/>
        <rFont val="Arial"/>
        <family val="2"/>
        <charset val="204"/>
      </rPr>
      <t xml:space="preserve">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</si>
  <si>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r>
      <rPr>
        <b/>
        <sz val="10"/>
        <color theme="1"/>
        <rFont val="Arial"/>
        <family val="2"/>
        <charset val="204"/>
      </rPr>
      <t>Мероприятие 2.4</t>
    </r>
    <r>
      <rPr>
        <sz val="10"/>
        <color theme="1"/>
        <rFont val="Arial"/>
        <family val="2"/>
        <charset val="204"/>
      </rPr>
      <t>.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</si>
  <si>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t xml:space="preserve">Адресный перечень объектов  </t>
  </si>
  <si>
    <t>финансирование которого предусмотрено  Мероприятием 2.2.  Проведение ремонтных работ зданий и сооружений</t>
  </si>
  <si>
    <t>финансирование которых предусмотрено  Мероприятие 2.4.  Капитальный ремонт и приобретение оборудования для оснащения плоскостных х сооружений муниципальных образованиях Московской области</t>
  </si>
  <si>
    <t xml:space="preserve">Адресный перечень объектов строительства  муниципальной собственности Рузского городского округа, </t>
  </si>
  <si>
    <t xml:space="preserve">Затраты на приобретение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приобретение  моноблоков.
</t>
  </si>
  <si>
    <t>Выполнение ремонтных работ, установка и приобретение ограждения, оплата сметы, мособлэкспертиза, технадзор.</t>
  </si>
  <si>
    <t>Корректировка проектно-сметной документации по строению объекта, проведение обследования здания физкультурно-оздоровительного комплекса.</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</si>
  <si>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</si>
  <si>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окон.Приобретение электротоваров, поставка банкеток,  телефонные аппараты, радиотелефон.
</t>
  </si>
  <si>
    <t xml:space="preserve">Затраты на :   информационно-телекоммуникационной сети "Интернет", подключение к сети интернет,  приобретение картриджей; Приобретение компьютеров и принтеров МФУ; Гарант, програмное обеспечение, офис, крипто-про, касперский, ремонт и настройка компьютеров, обслуживание сайта.
</t>
  </si>
  <si>
    <t xml:space="preserve">Затраты на приобретение основных средств для строительства,  (в том числе с спортивного снаряжения),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сварочный аппарат, болгарка, клепальщик, дрель (ударная), перфоратор, паяльник для полипропилена, набор инструментов, генератор, компрессор, шуруповерт, ламинатор, телефонные аппараты, газонокосилки, техника для обслуживания спортивных сооружений, спортивные комплексы, оборудование, тренажеры, спортивные снаряды, приобретение телефоных аппаратов, радиотелефонов, Сварочный комплект(сварочный  аппарат, маска, электроды)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</si>
  <si>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мебели(столы, шкафы, кресло, диван) ; Зск - затраты на приобретение электрического оборудования,   жалюзи, тент матерчатый телефонный аппарат, туристические принадлежности( палатка, казан)
</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</si>
  <si>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туристические принадлежности( палатка, казан)
</t>
  </si>
  <si>
    <t xml:space="preserve">финансирование которых предусмотрено  Мероприятием 2.5.  Строительство физкультурно-оздоровительного комплекса с. Покровское </t>
  </si>
  <si>
    <r>
      <rPr>
        <b/>
        <sz val="10"/>
        <rFont val="Arial"/>
        <family val="2"/>
        <charset val="204"/>
      </rPr>
      <t>Мероприятие 2.5.</t>
    </r>
    <r>
      <rPr>
        <sz val="10"/>
        <rFont val="Arial"/>
        <family val="2"/>
        <charset val="204"/>
      </rPr>
      <t xml:space="preserve">  Строительство физкультурно-оздоровительного комплекса с. Покровское </t>
    </r>
  </si>
  <si>
    <r>
      <t xml:space="preserve">Мероприятие 2.5.  </t>
    </r>
    <r>
      <rPr>
        <sz val="10"/>
        <color theme="1"/>
        <rFont val="Arial"/>
        <family val="2"/>
        <charset val="204"/>
      </rPr>
      <t xml:space="preserve">Строительство физкультурно-оздоровительного комплекса с. Покровское </t>
    </r>
  </si>
  <si>
    <t>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приобретение продуктов питания, организация питания на мероприятиях.</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</si>
  <si>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 разделители дорожек бассейна, семена спортивного газона. приобретение электротоваров (светильники потолочные светодиодные, прожектора светодиодные уличные, светодиодные лампы, светильники промышленные), топливных гранул (пеллет), семян спортивной газонной травы, удобрений для футбольных полей, эмали, метела, оборудование для сварки(сварочный  аппарат, маска, электроды), трубы профильные, сетка заградительная, пескобетон, цемент, кисточки, валики, трос и прочие строительные материалы. </t>
  </si>
  <si>
    <t xml:space="preserve">Мероприятие 2.5.  Строительство физкультурно-оздоровительного комплекса с. Покровское </t>
  </si>
  <si>
    <t xml:space="preserve"> Капитальный ремонт и приобретение оборудования для оснащения плоскостных спортивных сооружений Многофункциональных хоккейных площадок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</si>
</sst>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
      <sz val="14"/>
      <color theme="1"/>
      <name val="Arial"/>
      <family val="2"/>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rgb="FFFF0000"/>
      <name val="Arial"/>
      <family val="2"/>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90">
    <xf numFmtId="0" fontId="0" fillId="0" borderId="0" xfId="0"/>
    <xf numFmtId="0" fontId="3" fillId="0" borderId="0" xfId="0" applyFont="1"/>
    <xf numFmtId="0" fontId="7" fillId="3" borderId="1" xfId="0" applyFont="1" applyFill="1" applyBorder="1" applyAlignment="1">
      <alignment horizontal="left"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1" fillId="0" borderId="0" xfId="0" applyFont="1" applyBorder="1" applyAlignment="1">
      <alignment vertical="center" wrapText="1"/>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4" fontId="11" fillId="0" borderId="0" xfId="0" applyNumberFormat="1" applyFont="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10" fillId="0" borderId="4"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10" fillId="0" borderId="1" xfId="0" applyFont="1" applyFill="1" applyBorder="1" applyAlignment="1">
      <alignment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vertical="top" wrapText="1"/>
    </xf>
    <xf numFmtId="0" fontId="8" fillId="0" borderId="0" xfId="0" applyFont="1" applyAlignment="1">
      <alignment horizontal="center" vertical="center"/>
    </xf>
    <xf numFmtId="165" fontId="15" fillId="0" borderId="0" xfId="0" applyNumberFormat="1" applyFont="1"/>
    <xf numFmtId="0" fontId="16" fillId="0" borderId="1" xfId="0" applyFont="1" applyBorder="1" applyAlignment="1">
      <alignment vertical="center" wrapText="1"/>
    </xf>
    <xf numFmtId="165" fontId="16" fillId="0" borderId="1" xfId="0" applyNumberFormat="1" applyFont="1" applyBorder="1" applyAlignment="1">
      <alignment vertical="center" wrapText="1"/>
    </xf>
    <xf numFmtId="0" fontId="14" fillId="0" borderId="4" xfId="0" applyFont="1" applyBorder="1" applyAlignment="1">
      <alignment horizontal="left" vertical="top" wrapText="1"/>
    </xf>
    <xf numFmtId="0" fontId="14" fillId="0" borderId="1" xfId="0" applyFont="1" applyFill="1" applyBorder="1" applyAlignment="1">
      <alignment horizontal="left" vertical="top" wrapText="1"/>
    </xf>
    <xf numFmtId="4" fontId="15" fillId="0" borderId="0" xfId="0" applyNumberFormat="1" applyFont="1"/>
    <xf numFmtId="3" fontId="14"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165" fontId="3" fillId="0" borderId="0" xfId="0" applyNumberFormat="1" applyFont="1"/>
    <xf numFmtId="0" fontId="12"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23" fillId="0" borderId="0" xfId="0" applyNumberFormat="1" applyFont="1" applyAlignment="1">
      <alignment horizontal="center" vertical="center"/>
    </xf>
    <xf numFmtId="4" fontId="23" fillId="0" borderId="0" xfId="0" applyNumberFormat="1" applyFont="1" applyFill="1" applyAlignment="1">
      <alignment horizontal="center" vertical="center"/>
    </xf>
    <xf numFmtId="4" fontId="23" fillId="6" borderId="0" xfId="0" applyNumberFormat="1" applyFont="1" applyFill="1" applyAlignment="1">
      <alignment horizontal="center" vertical="center"/>
    </xf>
    <xf numFmtId="4" fontId="10" fillId="0" borderId="0" xfId="0" applyNumberFormat="1" applyFont="1" applyAlignment="1">
      <alignment horizontal="right"/>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pplyProtection="1">
      <alignment horizontal="center" vertical="center" wrapText="1"/>
    </xf>
    <xf numFmtId="4" fontId="12" fillId="0" borderId="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65" fontId="10" fillId="3" borderId="0" xfId="0" applyNumberFormat="1" applyFont="1" applyFill="1" applyAlignment="1">
      <alignment horizontal="right" vertical="center"/>
    </xf>
    <xf numFmtId="165" fontId="11" fillId="3" borderId="0" xfId="0" applyNumberFormat="1" applyFont="1" applyFill="1"/>
    <xf numFmtId="165" fontId="12"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11" fillId="3" borderId="0" xfId="0" applyNumberFormat="1" applyFont="1" applyFill="1" applyAlignment="1">
      <alignment vertical="center" wrapText="1"/>
    </xf>
    <xf numFmtId="2" fontId="14" fillId="0" borderId="4"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vertical="center" wrapText="1"/>
    </xf>
    <xf numFmtId="1" fontId="14" fillId="0" borderId="4" xfId="0" applyNumberFormat="1" applyFont="1" applyFill="1" applyBorder="1" applyAlignment="1">
      <alignment horizontal="center"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horizontal="center" vertical="center"/>
    </xf>
    <xf numFmtId="4" fontId="8" fillId="3" borderId="1" xfId="0" applyNumberFormat="1" applyFont="1" applyFill="1" applyBorder="1" applyAlignment="1">
      <alignment horizontal="center" vertical="center" wrapText="1"/>
    </xf>
    <xf numFmtId="0" fontId="25" fillId="0" borderId="0" xfId="0" applyFont="1"/>
    <xf numFmtId="0" fontId="26"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25" fillId="0" borderId="1" xfId="0" applyNumberFormat="1" applyFont="1" applyBorder="1" applyAlignment="1">
      <alignment horizontal="center" vertical="center" wrapText="1"/>
    </xf>
    <xf numFmtId="0" fontId="25" fillId="0" borderId="1" xfId="0" applyFont="1" applyBorder="1"/>
    <xf numFmtId="4" fontId="25" fillId="0" borderId="1" xfId="0" applyNumberFormat="1" applyFont="1" applyBorder="1" applyAlignment="1">
      <alignment horizontal="center" vertical="center"/>
    </xf>
    <xf numFmtId="0" fontId="24" fillId="0" borderId="0" xfId="0" applyFont="1"/>
    <xf numFmtId="0" fontId="25" fillId="0" borderId="0" xfId="0" applyFont="1" applyAlignment="1">
      <alignment horizontal="right" vertical="center"/>
    </xf>
    <xf numFmtId="2" fontId="16" fillId="0" borderId="4"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1" xfId="0" applyFont="1" applyBorder="1" applyAlignment="1">
      <alignment vertical="center" wrapText="1"/>
    </xf>
    <xf numFmtId="4" fontId="14" fillId="0" borderId="1" xfId="0" applyNumberFormat="1" applyFont="1" applyBorder="1" applyAlignment="1">
      <alignment horizontal="left" vertical="top" wrapText="1"/>
    </xf>
    <xf numFmtId="4" fontId="14" fillId="0" borderId="2"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4" fontId="14" fillId="0" borderId="4" xfId="0" applyNumberFormat="1" applyFont="1" applyBorder="1" applyAlignment="1">
      <alignment horizontal="left" vertical="top" wrapText="1"/>
    </xf>
    <xf numFmtId="0" fontId="16"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5" fillId="0" borderId="8" xfId="0" applyFont="1" applyBorder="1"/>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65" fontId="17" fillId="0" borderId="1"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0" fillId="2" borderId="1" xfId="0" applyFont="1" applyFill="1" applyBorder="1" applyAlignment="1">
      <alignment vertical="center" wrapText="1"/>
    </xf>
    <xf numFmtId="4" fontId="4" fillId="2" borderId="11"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0" fontId="2" fillId="5" borderId="1"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0" xfId="0" applyFont="1" applyFill="1" applyBorder="1" applyAlignment="1">
      <alignment horizontal="left" vertical="top" wrapText="1"/>
    </xf>
    <xf numFmtId="0" fontId="10" fillId="0" borderId="11" xfId="0" applyFont="1" applyFill="1" applyBorder="1" applyAlignment="1">
      <alignment vertical="top"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165" fontId="3" fillId="0" borderId="1" xfId="0" applyNumberFormat="1" applyFont="1" applyBorder="1" applyAlignment="1">
      <alignment horizontal="center" vertical="center" wrapText="1"/>
    </xf>
    <xf numFmtId="0" fontId="10" fillId="0" borderId="11" xfId="0" applyFont="1" applyFill="1" applyBorder="1" applyAlignment="1">
      <alignment horizontal="left" vertical="top"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0" fontId="12" fillId="5" borderId="1" xfId="0" applyFont="1" applyFill="1" applyBorder="1" applyAlignment="1">
      <alignment horizontal="center" vertical="top"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0" xfId="0" applyFont="1" applyAlignment="1">
      <alignment horizontal="right"/>
    </xf>
    <xf numFmtId="0" fontId="10" fillId="0" borderId="0" xfId="0" applyFont="1" applyAlignment="1">
      <alignment horizont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1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2" fillId="0" borderId="11" xfId="0" applyFont="1" applyFill="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13" xfId="0" applyFont="1" applyFill="1" applyBorder="1" applyAlignment="1">
      <alignment horizontal="left" vertical="top" wrapText="1"/>
    </xf>
    <xf numFmtId="0" fontId="16" fillId="0" borderId="1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2"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3" fillId="0" borderId="1" xfId="0" applyFont="1" applyFill="1" applyBorder="1" applyAlignment="1">
      <alignment horizontal="left" vertical="top" wrapText="1"/>
    </xf>
    <xf numFmtId="4" fontId="12" fillId="0" borderId="11" xfId="0" applyNumberFormat="1" applyFont="1" applyBorder="1" applyAlignment="1">
      <alignment horizontal="center" vertical="center" wrapText="1"/>
    </xf>
    <xf numFmtId="4" fontId="12" fillId="0" borderId="12" xfId="0" applyNumberFormat="1"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5" xfId="0" applyFont="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right" vertical="center"/>
    </xf>
    <xf numFmtId="0" fontId="26" fillId="0" borderId="0" xfId="0" applyFont="1" applyAlignment="1">
      <alignment horizontal="center" vertical="center"/>
    </xf>
    <xf numFmtId="0" fontId="25" fillId="0" borderId="11"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4" fontId="11" fillId="3" borderId="0" xfId="0" applyNumberFormat="1" applyFont="1" applyFill="1" applyAlignment="1">
      <alignment horizontal="left"/>
    </xf>
    <xf numFmtId="4" fontId="4" fillId="3" borderId="1"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4" fontId="4" fillId="3" borderId="1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zoomScale="80" zoomScaleNormal="80" zoomScaleSheetLayoutView="70" zoomScalePageLayoutView="50" workbookViewId="0">
      <selection activeCell="A26" sqref="A26"/>
    </sheetView>
  </sheetViews>
  <sheetFormatPr defaultRowHeight="15" x14ac:dyDescent="0.2"/>
  <cols>
    <col min="1" max="1" width="80.42578125" style="44" customWidth="1"/>
    <col min="2" max="3" width="24.42578125" style="44" customWidth="1"/>
    <col min="4" max="7" width="24.42578125" style="1" customWidth="1"/>
    <col min="8" max="10" width="9.140625" style="1"/>
    <col min="11" max="11" width="16.7109375" style="1" bestFit="1" customWidth="1"/>
    <col min="12" max="16384" width="9.140625" style="1"/>
  </cols>
  <sheetData>
    <row r="1" spans="1:7" x14ac:dyDescent="0.2">
      <c r="A1" s="50" t="s">
        <v>20</v>
      </c>
      <c r="B1" s="51"/>
      <c r="C1" s="51"/>
      <c r="D1" s="51"/>
      <c r="E1" s="253" t="s">
        <v>65</v>
      </c>
      <c r="F1" s="253"/>
      <c r="G1" s="253"/>
    </row>
    <row r="2" spans="1:7" x14ac:dyDescent="0.2">
      <c r="A2" s="50"/>
      <c r="B2" s="51"/>
      <c r="C2" s="51"/>
      <c r="D2" s="51"/>
      <c r="E2" s="253" t="s">
        <v>267</v>
      </c>
      <c r="F2" s="253"/>
      <c r="G2" s="253"/>
    </row>
    <row r="3" spans="1:7" x14ac:dyDescent="0.2">
      <c r="A3" s="50"/>
      <c r="B3" s="51"/>
      <c r="C3" s="51"/>
      <c r="D3" s="51"/>
      <c r="E3" s="253" t="s">
        <v>66</v>
      </c>
      <c r="F3" s="253"/>
      <c r="G3" s="253"/>
    </row>
    <row r="4" spans="1:7" x14ac:dyDescent="0.2">
      <c r="A4" s="52"/>
      <c r="B4" s="51"/>
      <c r="C4" s="51"/>
      <c r="D4" s="51"/>
      <c r="E4" s="254" t="s">
        <v>368</v>
      </c>
      <c r="F4" s="254"/>
      <c r="G4" s="254"/>
    </row>
    <row r="5" spans="1:7" x14ac:dyDescent="0.2">
      <c r="A5" s="50"/>
      <c r="B5" s="51"/>
      <c r="C5" s="51"/>
      <c r="D5" s="51"/>
      <c r="E5" s="51"/>
      <c r="F5" s="51"/>
      <c r="G5" s="51"/>
    </row>
    <row r="6" spans="1:7" x14ac:dyDescent="0.2">
      <c r="A6" s="50"/>
      <c r="B6" s="51"/>
      <c r="C6" s="51"/>
      <c r="D6" s="51"/>
      <c r="E6" s="51"/>
      <c r="F6" s="51"/>
      <c r="G6" s="51"/>
    </row>
    <row r="7" spans="1:7" x14ac:dyDescent="0.2">
      <c r="A7" s="50"/>
      <c r="B7" s="51"/>
      <c r="C7" s="51"/>
      <c r="D7" s="51"/>
      <c r="E7" s="51"/>
      <c r="F7" s="51"/>
      <c r="G7" s="51"/>
    </row>
    <row r="8" spans="1:7" ht="142.5" customHeight="1" x14ac:dyDescent="0.2">
      <c r="A8" s="237"/>
      <c r="B8" s="237"/>
      <c r="C8" s="237"/>
      <c r="D8" s="237"/>
      <c r="E8" s="237"/>
      <c r="F8" s="237"/>
      <c r="G8" s="237"/>
    </row>
    <row r="9" spans="1:7" ht="129.75" customHeight="1" x14ac:dyDescent="0.2">
      <c r="A9" s="50"/>
      <c r="B9" s="255"/>
      <c r="C9" s="255"/>
      <c r="D9" s="255"/>
      <c r="E9" s="51"/>
      <c r="F9" s="51"/>
      <c r="G9" s="51"/>
    </row>
    <row r="10" spans="1:7" x14ac:dyDescent="0.2">
      <c r="A10" s="50"/>
      <c r="B10" s="51"/>
      <c r="C10" s="51"/>
      <c r="D10" s="51"/>
      <c r="E10" s="51"/>
      <c r="F10" s="51"/>
      <c r="G10" s="51"/>
    </row>
    <row r="11" spans="1:7" x14ac:dyDescent="0.2">
      <c r="A11" s="50"/>
      <c r="B11" s="51"/>
      <c r="C11" s="51"/>
      <c r="D11" s="51"/>
      <c r="E11" s="51"/>
      <c r="F11" s="51"/>
      <c r="G11" s="51"/>
    </row>
    <row r="12" spans="1:7" ht="37.5" customHeight="1" x14ac:dyDescent="0.2">
      <c r="A12" s="238" t="s">
        <v>111</v>
      </c>
      <c r="B12" s="238"/>
      <c r="C12" s="238"/>
      <c r="D12" s="238"/>
      <c r="E12" s="238"/>
      <c r="F12" s="238"/>
      <c r="G12" s="238"/>
    </row>
    <row r="13" spans="1:7" ht="48.75" customHeight="1" x14ac:dyDescent="0.2">
      <c r="A13" s="240" t="s">
        <v>118</v>
      </c>
      <c r="B13" s="240"/>
      <c r="C13" s="240"/>
      <c r="D13" s="240"/>
      <c r="E13" s="240"/>
      <c r="F13" s="240"/>
      <c r="G13" s="240"/>
    </row>
    <row r="14" spans="1:7" ht="52.5" customHeight="1" x14ac:dyDescent="0.2">
      <c r="A14" s="240"/>
      <c r="B14" s="240"/>
      <c r="C14" s="240"/>
      <c r="D14" s="240"/>
      <c r="E14" s="240"/>
      <c r="F14" s="240"/>
      <c r="G14" s="240"/>
    </row>
    <row r="15" spans="1:7" ht="86.25" hidden="1" customHeight="1" x14ac:dyDescent="0.2">
      <c r="A15" s="51"/>
      <c r="B15" s="51"/>
      <c r="C15" s="51"/>
      <c r="D15" s="51"/>
      <c r="E15" s="51"/>
      <c r="F15" s="51"/>
      <c r="G15" s="51"/>
    </row>
    <row r="16" spans="1:7" hidden="1" x14ac:dyDescent="0.2">
      <c r="A16" s="53"/>
      <c r="B16" s="51"/>
      <c r="C16" s="51"/>
      <c r="D16" s="51"/>
      <c r="E16" s="51"/>
      <c r="F16" s="51"/>
      <c r="G16" s="51"/>
    </row>
    <row r="17" spans="1:11" ht="189.75" customHeight="1" x14ac:dyDescent="0.2">
      <c r="A17" s="50"/>
      <c r="B17" s="51"/>
      <c r="C17" s="51"/>
      <c r="D17" s="51"/>
      <c r="E17" s="51"/>
      <c r="F17" s="51"/>
      <c r="G17" s="51"/>
    </row>
    <row r="18" spans="1:11" s="3" customFormat="1" ht="14.25" x14ac:dyDescent="0.2">
      <c r="A18" s="251" t="s">
        <v>0</v>
      </c>
      <c r="B18" s="251"/>
      <c r="C18" s="251"/>
      <c r="D18" s="251"/>
      <c r="E18" s="251"/>
      <c r="F18" s="251"/>
      <c r="G18" s="251"/>
      <c r="H18" s="8"/>
      <c r="I18" s="8"/>
      <c r="J18" s="8"/>
      <c r="K18" s="58"/>
    </row>
    <row r="19" spans="1:11" s="3" customFormat="1" ht="14.25" x14ac:dyDescent="0.2">
      <c r="A19" s="252" t="s">
        <v>114</v>
      </c>
      <c r="B19" s="252"/>
      <c r="C19" s="252"/>
      <c r="D19" s="252"/>
      <c r="E19" s="252"/>
      <c r="F19" s="252"/>
      <c r="G19" s="252"/>
      <c r="H19" s="12"/>
      <c r="I19" s="12"/>
      <c r="J19" s="12"/>
      <c r="K19" s="59"/>
    </row>
    <row r="20" spans="1:11" s="3" customFormat="1" ht="14.25" x14ac:dyDescent="0.2">
      <c r="A20" s="251" t="s">
        <v>121</v>
      </c>
      <c r="B20" s="251"/>
      <c r="C20" s="251"/>
      <c r="D20" s="251"/>
      <c r="E20" s="251"/>
      <c r="F20" s="251"/>
      <c r="G20" s="251"/>
      <c r="H20" s="8"/>
      <c r="I20" s="8"/>
      <c r="J20" s="8"/>
      <c r="K20" s="58"/>
    </row>
    <row r="21" spans="1:11" ht="42" customHeight="1" x14ac:dyDescent="0.2">
      <c r="A21" s="239" t="s">
        <v>112</v>
      </c>
      <c r="B21" s="239"/>
      <c r="C21" s="239"/>
      <c r="D21" s="239"/>
      <c r="E21" s="239"/>
      <c r="F21" s="239"/>
      <c r="G21" s="239"/>
    </row>
    <row r="22" spans="1:11" ht="15.75" customHeight="1" x14ac:dyDescent="0.2">
      <c r="A22" s="247" t="s">
        <v>118</v>
      </c>
      <c r="B22" s="247"/>
      <c r="C22" s="247"/>
      <c r="D22" s="247"/>
      <c r="E22" s="247"/>
      <c r="F22" s="247"/>
      <c r="G22" s="247"/>
    </row>
    <row r="23" spans="1:11" ht="15.75" customHeight="1" x14ac:dyDescent="0.2">
      <c r="A23" s="247"/>
      <c r="B23" s="247"/>
      <c r="C23" s="247"/>
      <c r="D23" s="247"/>
      <c r="E23" s="247"/>
      <c r="F23" s="247"/>
      <c r="G23" s="247"/>
    </row>
    <row r="24" spans="1:11" ht="60.75" customHeight="1" x14ac:dyDescent="0.2">
      <c r="A24" s="45" t="s">
        <v>21</v>
      </c>
      <c r="B24" s="236" t="s">
        <v>370</v>
      </c>
      <c r="C24" s="236"/>
      <c r="D24" s="236"/>
      <c r="E24" s="236"/>
      <c r="F24" s="236"/>
      <c r="G24" s="236"/>
    </row>
    <row r="25" spans="1:11" ht="56.25" customHeight="1" x14ac:dyDescent="0.2">
      <c r="A25" s="45" t="s">
        <v>119</v>
      </c>
      <c r="B25" s="241" t="s">
        <v>181</v>
      </c>
      <c r="C25" s="242"/>
      <c r="D25" s="242"/>
      <c r="E25" s="242"/>
      <c r="F25" s="242"/>
      <c r="G25" s="243"/>
    </row>
    <row r="26" spans="1:11" ht="135.75" customHeight="1" x14ac:dyDescent="0.2">
      <c r="A26" s="45" t="s">
        <v>22</v>
      </c>
      <c r="B26" s="244" t="s">
        <v>105</v>
      </c>
      <c r="C26" s="245"/>
      <c r="D26" s="245"/>
      <c r="E26" s="245"/>
      <c r="F26" s="245"/>
      <c r="G26" s="246"/>
    </row>
    <row r="27" spans="1:11" ht="39.75" customHeight="1" x14ac:dyDescent="0.2">
      <c r="A27" s="248" t="s">
        <v>23</v>
      </c>
      <c r="B27" s="236" t="s">
        <v>67</v>
      </c>
      <c r="C27" s="236"/>
      <c r="D27" s="236"/>
      <c r="E27" s="236"/>
      <c r="F27" s="236"/>
      <c r="G27" s="236"/>
    </row>
    <row r="28" spans="1:11" ht="39.75" customHeight="1" x14ac:dyDescent="0.2">
      <c r="A28" s="249"/>
      <c r="B28" s="236" t="s">
        <v>76</v>
      </c>
      <c r="C28" s="236"/>
      <c r="D28" s="236"/>
      <c r="E28" s="236"/>
      <c r="F28" s="236"/>
      <c r="G28" s="236"/>
    </row>
    <row r="29" spans="1:11" ht="35.25" customHeight="1" x14ac:dyDescent="0.2">
      <c r="A29" s="250"/>
      <c r="B29" s="236" t="s">
        <v>77</v>
      </c>
      <c r="C29" s="236"/>
      <c r="D29" s="236"/>
      <c r="E29" s="236"/>
      <c r="F29" s="236"/>
      <c r="G29" s="236"/>
    </row>
    <row r="30" spans="1:11" ht="57.75" customHeight="1" x14ac:dyDescent="0.2">
      <c r="A30" s="45" t="s">
        <v>54</v>
      </c>
      <c r="B30" s="235" t="s">
        <v>25</v>
      </c>
      <c r="C30" s="235"/>
      <c r="D30" s="235"/>
      <c r="E30" s="235"/>
      <c r="F30" s="235"/>
      <c r="G30" s="235"/>
    </row>
    <row r="31" spans="1:11" ht="34.5" customHeight="1" x14ac:dyDescent="0.2">
      <c r="A31" s="45" t="s">
        <v>24</v>
      </c>
      <c r="B31" s="46" t="s">
        <v>26</v>
      </c>
      <c r="C31" s="46" t="s">
        <v>4</v>
      </c>
      <c r="D31" s="46" t="s">
        <v>5</v>
      </c>
      <c r="E31" s="46" t="s">
        <v>94</v>
      </c>
      <c r="F31" s="46" t="s">
        <v>95</v>
      </c>
      <c r="G31" s="46" t="s">
        <v>96</v>
      </c>
    </row>
    <row r="32" spans="1:11" ht="64.5" customHeight="1" x14ac:dyDescent="0.2">
      <c r="A32" s="47" t="s">
        <v>78</v>
      </c>
      <c r="B32" s="190">
        <f>'Прил 7 Перечень мероприятий'!F133</f>
        <v>541982.41544000001</v>
      </c>
      <c r="C32" s="190">
        <f>'Прил 7 Перечень мероприятий'!G133</f>
        <v>113362.06032999999</v>
      </c>
      <c r="D32" s="190">
        <f>'Прил 7 Перечень мероприятий'!H133</f>
        <v>110580.15510999998</v>
      </c>
      <c r="E32" s="190">
        <f>'Прил 7 Перечень мероприятий'!I133</f>
        <v>105896.8</v>
      </c>
      <c r="F32" s="190">
        <f>'Прил 7 Перечень мероприятий'!J133</f>
        <v>106071.70000000001</v>
      </c>
      <c r="G32" s="190">
        <f>'Прил 7 Перечень мероприятий'!K133</f>
        <v>106071.70000000001</v>
      </c>
      <c r="K32" s="1">
        <f>139786420.33/1000</f>
        <v>139786.42033000002</v>
      </c>
    </row>
    <row r="33" spans="1:13" ht="58.5" customHeight="1" x14ac:dyDescent="0.2">
      <c r="A33" s="2" t="s">
        <v>12</v>
      </c>
      <c r="B33" s="208">
        <f>'Прил 7 Перечень мероприятий'!F134</f>
        <v>34363.57</v>
      </c>
      <c r="C33" s="208">
        <f>'Прил 7 Перечень мероприятий'!G134</f>
        <v>26424.37</v>
      </c>
      <c r="D33" s="208">
        <f>'Прил 7 Перечень мероприятий'!H134</f>
        <v>0</v>
      </c>
      <c r="E33" s="208">
        <f>'Прил 7 Перечень мероприятий'!I134</f>
        <v>7939.2</v>
      </c>
      <c r="F33" s="208">
        <f>'Прил 7 Перечень мероприятий'!J134</f>
        <v>0</v>
      </c>
      <c r="G33" s="208">
        <f>'Прил 7 Перечень мероприятий'!K134</f>
        <v>0</v>
      </c>
      <c r="K33" s="147">
        <f>C34-K32</f>
        <v>9.9999999802093953E-3</v>
      </c>
    </row>
    <row r="34" spans="1:13" ht="19.5" customHeight="1" x14ac:dyDescent="0.2">
      <c r="A34" s="45" t="s">
        <v>11</v>
      </c>
      <c r="B34" s="194">
        <f>SUM(B32:B33)</f>
        <v>576345.98543999996</v>
      </c>
      <c r="C34" s="194">
        <f t="shared" ref="C34:G34" si="0">SUM(C32:C33)</f>
        <v>139786.43033</v>
      </c>
      <c r="D34" s="172">
        <f t="shared" si="0"/>
        <v>110580.15510999998</v>
      </c>
      <c r="E34" s="172">
        <f t="shared" si="0"/>
        <v>113836</v>
      </c>
      <c r="F34" s="172">
        <f t="shared" si="0"/>
        <v>106071.70000000001</v>
      </c>
      <c r="G34" s="172">
        <f t="shared" si="0"/>
        <v>106071.70000000001</v>
      </c>
    </row>
    <row r="35" spans="1:13" ht="336.75" customHeight="1" x14ac:dyDescent="0.2">
      <c r="A35" s="234" t="s">
        <v>185</v>
      </c>
      <c r="B35" s="234"/>
      <c r="C35" s="234"/>
      <c r="D35" s="234"/>
      <c r="E35" s="234"/>
      <c r="F35" s="234"/>
      <c r="G35" s="234"/>
    </row>
    <row r="36" spans="1:13" ht="390" customHeight="1" x14ac:dyDescent="0.2">
      <c r="A36" s="231" t="s">
        <v>158</v>
      </c>
      <c r="B36" s="231"/>
      <c r="C36" s="231"/>
      <c r="D36" s="231"/>
      <c r="E36" s="231"/>
      <c r="F36" s="231"/>
      <c r="G36" s="231"/>
    </row>
    <row r="37" spans="1:13" ht="72" customHeight="1" x14ac:dyDescent="0.2">
      <c r="A37" s="230" t="s">
        <v>159</v>
      </c>
      <c r="B37" s="230"/>
      <c r="C37" s="230"/>
      <c r="D37" s="230"/>
      <c r="E37" s="230"/>
      <c r="F37" s="230"/>
      <c r="G37" s="230"/>
    </row>
    <row r="38" spans="1:13" ht="291" customHeight="1" x14ac:dyDescent="0.2">
      <c r="A38" s="231" t="s">
        <v>160</v>
      </c>
      <c r="B38" s="231"/>
      <c r="C38" s="231"/>
      <c r="D38" s="231"/>
      <c r="E38" s="231"/>
      <c r="F38" s="231"/>
      <c r="G38" s="231"/>
    </row>
    <row r="39" spans="1:13" ht="65.25" customHeight="1" x14ac:dyDescent="0.2">
      <c r="A39" s="231"/>
      <c r="B39" s="231"/>
      <c r="C39" s="231"/>
      <c r="D39" s="231"/>
      <c r="E39" s="231"/>
      <c r="F39" s="231"/>
      <c r="G39" s="231"/>
      <c r="M39" s="41"/>
    </row>
    <row r="40" spans="1:13" ht="73.5" customHeight="1" x14ac:dyDescent="0.2">
      <c r="A40" s="231" t="s">
        <v>161</v>
      </c>
      <c r="B40" s="231"/>
      <c r="C40" s="231"/>
      <c r="D40" s="231"/>
      <c r="E40" s="231"/>
      <c r="F40" s="231"/>
      <c r="G40" s="231"/>
    </row>
    <row r="41" spans="1:13" ht="69" customHeight="1" x14ac:dyDescent="0.2">
      <c r="A41" s="230" t="s">
        <v>93</v>
      </c>
      <c r="B41" s="230"/>
      <c r="C41" s="230"/>
      <c r="D41" s="230"/>
      <c r="E41" s="230"/>
      <c r="F41" s="230"/>
      <c r="G41" s="230"/>
    </row>
    <row r="42" spans="1:13" ht="70.5" customHeight="1" x14ac:dyDescent="0.2">
      <c r="A42" s="230" t="s">
        <v>120</v>
      </c>
      <c r="B42" s="230"/>
      <c r="C42" s="230"/>
      <c r="D42" s="230"/>
      <c r="E42" s="230"/>
      <c r="F42" s="230"/>
      <c r="G42" s="230"/>
    </row>
    <row r="43" spans="1:13" ht="147" customHeight="1" x14ac:dyDescent="0.2">
      <c r="A43" s="230" t="s">
        <v>369</v>
      </c>
      <c r="B43" s="232"/>
      <c r="C43" s="232"/>
      <c r="D43" s="232"/>
      <c r="E43" s="232"/>
      <c r="F43" s="232"/>
      <c r="G43" s="232"/>
    </row>
    <row r="44" spans="1:13" ht="64.5" customHeight="1" x14ac:dyDescent="0.2">
      <c r="A44" s="233" t="s">
        <v>360</v>
      </c>
      <c r="B44" s="230"/>
      <c r="C44" s="230"/>
      <c r="D44" s="230"/>
      <c r="E44" s="230"/>
      <c r="F44" s="230"/>
      <c r="G44" s="230"/>
    </row>
  </sheetData>
  <mergeCells count="30">
    <mergeCell ref="A19:G19"/>
    <mergeCell ref="A20:G20"/>
    <mergeCell ref="E1:G1"/>
    <mergeCell ref="E2:G2"/>
    <mergeCell ref="E3:G3"/>
    <mergeCell ref="E4:G4"/>
    <mergeCell ref="B9:D9"/>
    <mergeCell ref="A35:G35"/>
    <mergeCell ref="A37:G37"/>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1:G41"/>
    <mergeCell ref="A36:G36"/>
    <mergeCell ref="A43:G43"/>
    <mergeCell ref="A44:G44"/>
    <mergeCell ref="A42:G42"/>
    <mergeCell ref="A38:G39"/>
    <mergeCell ref="A40:G40"/>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4" max="6" man="1"/>
    <brk id="37" max="6"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F11" sqref="F11"/>
    </sheetView>
  </sheetViews>
  <sheetFormatPr defaultRowHeight="15.75" x14ac:dyDescent="0.25"/>
  <cols>
    <col min="1" max="1" width="4.85546875" style="209" customWidth="1"/>
    <col min="2" max="2" width="34.7109375" style="209" customWidth="1"/>
    <col min="3" max="3" width="19.140625" style="209" customWidth="1"/>
    <col min="4" max="4" width="21" style="209" customWidth="1"/>
    <col min="5" max="5" width="15.5703125" style="209" customWidth="1"/>
    <col min="6" max="6" width="26.28515625" style="209" customWidth="1"/>
    <col min="7" max="7" width="14" style="209" customWidth="1"/>
    <col min="8" max="9" width="14.42578125" style="209" customWidth="1"/>
    <col min="10" max="10" width="11.85546875" style="209" customWidth="1"/>
    <col min="11" max="16384" width="9.140625" style="209"/>
  </cols>
  <sheetData>
    <row r="1" spans="1:10" x14ac:dyDescent="0.25">
      <c r="A1" s="473" t="s">
        <v>389</v>
      </c>
      <c r="B1" s="473"/>
      <c r="C1" s="473"/>
      <c r="D1" s="473"/>
      <c r="E1" s="473"/>
      <c r="F1" s="473"/>
      <c r="G1" s="473"/>
      <c r="H1" s="473"/>
      <c r="I1" s="473"/>
      <c r="J1" s="473"/>
    </row>
    <row r="2" spans="1:10" x14ac:dyDescent="0.25">
      <c r="A2" s="473" t="s">
        <v>391</v>
      </c>
      <c r="B2" s="473"/>
      <c r="C2" s="473"/>
      <c r="D2" s="473"/>
      <c r="E2" s="473"/>
      <c r="F2" s="473"/>
      <c r="G2" s="473"/>
      <c r="H2" s="473"/>
      <c r="I2" s="473"/>
      <c r="J2" s="473"/>
    </row>
    <row r="3" spans="1:10" x14ac:dyDescent="0.25">
      <c r="A3" s="473"/>
      <c r="B3" s="473"/>
      <c r="C3" s="473"/>
      <c r="D3" s="473"/>
      <c r="E3" s="473"/>
      <c r="F3" s="473"/>
      <c r="G3" s="473"/>
      <c r="H3" s="473"/>
      <c r="I3" s="473"/>
      <c r="J3" s="473"/>
    </row>
    <row r="4" spans="1:10" ht="40.5" customHeight="1" x14ac:dyDescent="0.25">
      <c r="A4" s="472" t="s">
        <v>390</v>
      </c>
      <c r="B4" s="472"/>
      <c r="C4" s="472"/>
      <c r="D4" s="472"/>
      <c r="E4" s="472"/>
      <c r="F4" s="472"/>
      <c r="G4" s="472"/>
      <c r="H4" s="472"/>
      <c r="I4" s="472"/>
      <c r="J4" s="472"/>
    </row>
    <row r="5" spans="1:10" ht="35.25" customHeight="1" x14ac:dyDescent="0.25">
      <c r="A5" s="472" t="s">
        <v>421</v>
      </c>
      <c r="B5" s="472"/>
      <c r="C5" s="472"/>
      <c r="D5" s="472"/>
      <c r="E5" s="472"/>
      <c r="F5" s="472"/>
      <c r="G5" s="472"/>
      <c r="H5" s="472"/>
      <c r="I5" s="472"/>
      <c r="J5" s="472"/>
    </row>
    <row r="6" spans="1:10" ht="24.75" customHeight="1" x14ac:dyDescent="0.25">
      <c r="A6" s="474" t="s">
        <v>392</v>
      </c>
      <c r="B6" s="474"/>
      <c r="C6" s="474"/>
      <c r="D6" s="474"/>
      <c r="E6" s="474"/>
      <c r="F6" s="474"/>
      <c r="G6" s="474"/>
      <c r="H6" s="474"/>
      <c r="I6" s="474"/>
      <c r="J6" s="474"/>
    </row>
    <row r="7" spans="1:10" ht="34.5" customHeight="1" x14ac:dyDescent="0.25">
      <c r="A7" s="471" t="s">
        <v>393</v>
      </c>
      <c r="B7" s="471"/>
      <c r="C7" s="471"/>
      <c r="D7" s="471"/>
      <c r="E7" s="471"/>
      <c r="F7" s="471"/>
      <c r="G7" s="471"/>
      <c r="H7" s="471"/>
      <c r="I7" s="471"/>
      <c r="J7" s="471"/>
    </row>
    <row r="8" spans="1:10" x14ac:dyDescent="0.25">
      <c r="A8" s="207"/>
    </row>
    <row r="9" spans="1:10" x14ac:dyDescent="0.25">
      <c r="A9" s="204" t="s">
        <v>410</v>
      </c>
    </row>
    <row r="10" spans="1:10" ht="7.5" customHeight="1" x14ac:dyDescent="0.25">
      <c r="A10" s="204"/>
    </row>
    <row r="11" spans="1:10" x14ac:dyDescent="0.25">
      <c r="A11" s="204" t="s">
        <v>409</v>
      </c>
    </row>
    <row r="12" spans="1:10" x14ac:dyDescent="0.25">
      <c r="A12" s="219"/>
    </row>
    <row r="13" spans="1:10" ht="15" customHeight="1" x14ac:dyDescent="0.25">
      <c r="A13" s="470" t="s">
        <v>375</v>
      </c>
      <c r="B13" s="470" t="s">
        <v>394</v>
      </c>
      <c r="C13" s="470" t="s">
        <v>395</v>
      </c>
      <c r="D13" s="470" t="s">
        <v>396</v>
      </c>
      <c r="E13" s="470" t="s">
        <v>397</v>
      </c>
      <c r="F13" s="470" t="s">
        <v>377</v>
      </c>
      <c r="G13" s="470" t="s">
        <v>380</v>
      </c>
      <c r="H13" s="470"/>
      <c r="I13" s="470"/>
      <c r="J13" s="470"/>
    </row>
    <row r="14" spans="1:10" ht="80.25" customHeight="1" x14ac:dyDescent="0.25">
      <c r="A14" s="470"/>
      <c r="B14" s="470"/>
      <c r="C14" s="470"/>
      <c r="D14" s="470"/>
      <c r="E14" s="470"/>
      <c r="F14" s="470"/>
      <c r="G14" s="211" t="s">
        <v>26</v>
      </c>
      <c r="H14" s="210" t="s">
        <v>4</v>
      </c>
      <c r="I14" s="210" t="s">
        <v>5</v>
      </c>
      <c r="J14" s="210" t="s">
        <v>94</v>
      </c>
    </row>
    <row r="15" spans="1:10" x14ac:dyDescent="0.25">
      <c r="A15" s="211">
        <v>1</v>
      </c>
      <c r="B15" s="211">
        <v>2</v>
      </c>
      <c r="C15" s="211">
        <v>3</v>
      </c>
      <c r="D15" s="211">
        <v>4</v>
      </c>
      <c r="E15" s="211">
        <v>5</v>
      </c>
      <c r="F15" s="211">
        <v>6</v>
      </c>
      <c r="G15" s="211">
        <v>7</v>
      </c>
      <c r="H15" s="211">
        <v>8</v>
      </c>
      <c r="I15" s="211">
        <v>9</v>
      </c>
      <c r="J15" s="211">
        <v>10</v>
      </c>
    </row>
    <row r="16" spans="1:10" ht="24.75" customHeight="1" x14ac:dyDescent="0.25">
      <c r="A16" s="211" t="s">
        <v>2</v>
      </c>
      <c r="B16" s="467" t="s">
        <v>398</v>
      </c>
      <c r="C16" s="468"/>
      <c r="D16" s="468"/>
      <c r="E16" s="468"/>
      <c r="F16" s="468"/>
      <c r="G16" s="468"/>
      <c r="H16" s="468"/>
      <c r="I16" s="468"/>
      <c r="J16" s="469"/>
    </row>
    <row r="17" spans="1:10" ht="22.5" customHeight="1" x14ac:dyDescent="0.25">
      <c r="A17" s="212"/>
      <c r="B17" s="214" t="s">
        <v>399</v>
      </c>
      <c r="C17" s="211"/>
      <c r="D17" s="211"/>
      <c r="E17" s="221"/>
      <c r="F17" s="214" t="s">
        <v>11</v>
      </c>
      <c r="G17" s="215">
        <f>SUM(G18:G19)</f>
        <v>11260.8</v>
      </c>
      <c r="H17" s="215">
        <f t="shared" ref="H17:I17" si="0">H19</f>
        <v>0</v>
      </c>
      <c r="I17" s="215">
        <f t="shared" si="0"/>
        <v>3321.6</v>
      </c>
      <c r="J17" s="215">
        <f>J18+J19</f>
        <v>7939.2</v>
      </c>
    </row>
    <row r="18" spans="1:10" ht="30" customHeight="1" x14ac:dyDescent="0.25">
      <c r="A18" s="212"/>
      <c r="B18" s="475" t="s">
        <v>413</v>
      </c>
      <c r="C18" s="211"/>
      <c r="D18" s="211"/>
      <c r="E18" s="221"/>
      <c r="F18" s="214" t="s">
        <v>411</v>
      </c>
      <c r="G18" s="215">
        <f t="shared" ref="G18" si="1">SUM(H18:J18)</f>
        <v>7939.2</v>
      </c>
      <c r="H18" s="215">
        <v>0</v>
      </c>
      <c r="I18" s="215">
        <f>'Прил 7 Перечень мероприятий'!H55</f>
        <v>0</v>
      </c>
      <c r="J18" s="215">
        <f>'Прил 7 Перечень мероприятий'!I55</f>
        <v>7939.2</v>
      </c>
    </row>
    <row r="19" spans="1:10" ht="39" customHeight="1" x14ac:dyDescent="0.25">
      <c r="A19" s="212"/>
      <c r="B19" s="476"/>
      <c r="C19" s="211"/>
      <c r="D19" s="215">
        <f>I19</f>
        <v>3321.6</v>
      </c>
      <c r="E19" s="222">
        <v>2019</v>
      </c>
      <c r="F19" s="214" t="s">
        <v>400</v>
      </c>
      <c r="G19" s="215">
        <f t="shared" ref="G19" si="2">SUM(H19:J19)</f>
        <v>3321.6</v>
      </c>
      <c r="H19" s="215">
        <v>0</v>
      </c>
      <c r="I19" s="215">
        <f>'Прил 7 Перечень мероприятий'!H56</f>
        <v>3321.6</v>
      </c>
      <c r="J19" s="215">
        <v>0</v>
      </c>
    </row>
    <row r="20" spans="1:10" ht="24.75" customHeight="1" x14ac:dyDescent="0.25">
      <c r="A20" s="211"/>
      <c r="B20" s="214" t="s">
        <v>402</v>
      </c>
      <c r="C20" s="214"/>
      <c r="D20" s="215">
        <f>I20</f>
        <v>3321.6</v>
      </c>
      <c r="E20" s="215"/>
      <c r="F20" s="214"/>
      <c r="G20" s="215">
        <f>G17</f>
        <v>11260.8</v>
      </c>
      <c r="H20" s="215">
        <f>H17</f>
        <v>0</v>
      </c>
      <c r="I20" s="215">
        <f t="shared" ref="I20:J20" si="3">I17</f>
        <v>3321.6</v>
      </c>
      <c r="J20" s="215">
        <f t="shared" si="3"/>
        <v>7939.2</v>
      </c>
    </row>
  </sheetData>
  <mergeCells count="16">
    <mergeCell ref="A6:J6"/>
    <mergeCell ref="A1:J1"/>
    <mergeCell ref="A2:J2"/>
    <mergeCell ref="A3:J3"/>
    <mergeCell ref="A4:J4"/>
    <mergeCell ref="A5:J5"/>
    <mergeCell ref="B16:J16"/>
    <mergeCell ref="B18:B19"/>
    <mergeCell ref="A7:J7"/>
    <mergeCell ref="A13:A14"/>
    <mergeCell ref="B13:B14"/>
    <mergeCell ref="C13:C14"/>
    <mergeCell ref="D13:D14"/>
    <mergeCell ref="E13:E14"/>
    <mergeCell ref="F13:F14"/>
    <mergeCell ref="G13:J13"/>
  </mergeCells>
  <pageMargins left="0.51181102362204722" right="0.51181102362204722" top="0.74803149606299213" bottom="0.74803149606299213"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D17" sqref="D17:D18"/>
    </sheetView>
  </sheetViews>
  <sheetFormatPr defaultRowHeight="15.75" x14ac:dyDescent="0.25"/>
  <cols>
    <col min="1" max="1" width="6.5703125" style="209" customWidth="1"/>
    <col min="2" max="2" width="29.28515625" style="209" customWidth="1"/>
    <col min="3" max="3" width="12.5703125" style="209" customWidth="1"/>
    <col min="4" max="4" width="12.85546875" style="209" customWidth="1"/>
    <col min="5" max="5" width="12" style="209" customWidth="1"/>
    <col min="6" max="6" width="15.85546875" style="209" customWidth="1"/>
    <col min="7" max="7" width="18.7109375" style="209" customWidth="1"/>
    <col min="8" max="8" width="10.42578125" style="209" customWidth="1"/>
    <col min="9" max="9" width="10" style="209" customWidth="1"/>
    <col min="10" max="10" width="10.28515625" style="209" customWidth="1"/>
    <col min="11" max="11" width="10.42578125" style="209" customWidth="1"/>
    <col min="12" max="12" width="15.28515625" style="209" customWidth="1"/>
    <col min="13" max="13" width="17.140625" style="209" customWidth="1"/>
    <col min="14" max="14" width="12.7109375" style="209" customWidth="1"/>
    <col min="15" max="19" width="9.140625" style="209" hidden="1" customWidth="1"/>
    <col min="20" max="16384" width="9.140625" style="209"/>
  </cols>
  <sheetData>
    <row r="1" spans="1:13" x14ac:dyDescent="0.25">
      <c r="A1" s="473" t="s">
        <v>412</v>
      </c>
      <c r="B1" s="473"/>
      <c r="C1" s="473"/>
      <c r="D1" s="473"/>
      <c r="E1" s="473"/>
      <c r="F1" s="473"/>
      <c r="G1" s="473"/>
      <c r="H1" s="473"/>
      <c r="I1" s="473"/>
      <c r="J1" s="473"/>
      <c r="K1" s="473"/>
      <c r="L1" s="473"/>
      <c r="M1" s="473"/>
    </row>
    <row r="2" spans="1:13" x14ac:dyDescent="0.25">
      <c r="A2" s="473" t="s">
        <v>391</v>
      </c>
      <c r="B2" s="473"/>
      <c r="C2" s="473"/>
      <c r="D2" s="473"/>
      <c r="E2" s="473"/>
      <c r="F2" s="473"/>
      <c r="G2" s="473"/>
      <c r="H2" s="473"/>
      <c r="I2" s="473"/>
      <c r="J2" s="473"/>
      <c r="K2" s="473"/>
      <c r="L2" s="473"/>
      <c r="M2" s="473"/>
    </row>
    <row r="3" spans="1:13" x14ac:dyDescent="0.25">
      <c r="A3" s="473"/>
      <c r="B3" s="473"/>
      <c r="C3" s="473"/>
      <c r="D3" s="473"/>
      <c r="E3" s="473"/>
      <c r="F3" s="473"/>
      <c r="G3" s="473"/>
      <c r="H3" s="473"/>
      <c r="I3" s="473"/>
      <c r="J3" s="473"/>
    </row>
    <row r="4" spans="1:13" ht="33.75" customHeight="1" x14ac:dyDescent="0.25">
      <c r="A4" s="472" t="s">
        <v>422</v>
      </c>
      <c r="B4" s="472"/>
      <c r="C4" s="472"/>
      <c r="D4" s="472"/>
      <c r="E4" s="472"/>
      <c r="F4" s="472"/>
      <c r="G4" s="472"/>
      <c r="H4" s="472"/>
      <c r="I4" s="472"/>
      <c r="J4" s="472"/>
      <c r="K4" s="472"/>
      <c r="L4" s="472"/>
      <c r="M4" s="472"/>
    </row>
    <row r="5" spans="1:13" ht="35.25" customHeight="1" x14ac:dyDescent="0.25">
      <c r="A5" s="472" t="s">
        <v>432</v>
      </c>
      <c r="B5" s="472"/>
      <c r="C5" s="472"/>
      <c r="D5" s="472"/>
      <c r="E5" s="472"/>
      <c r="F5" s="472"/>
      <c r="G5" s="472"/>
      <c r="H5" s="472"/>
      <c r="I5" s="472"/>
      <c r="J5" s="472"/>
      <c r="K5" s="472"/>
      <c r="L5" s="472"/>
      <c r="M5" s="472"/>
    </row>
    <row r="6" spans="1:13" ht="24.75" customHeight="1" x14ac:dyDescent="0.25">
      <c r="A6" s="474" t="s">
        <v>392</v>
      </c>
      <c r="B6" s="474"/>
      <c r="C6" s="474"/>
      <c r="D6" s="474"/>
      <c r="E6" s="474"/>
      <c r="F6" s="474"/>
      <c r="G6" s="474"/>
      <c r="H6" s="474"/>
      <c r="I6" s="474"/>
      <c r="J6" s="474"/>
      <c r="K6" s="474"/>
      <c r="L6" s="474"/>
      <c r="M6" s="474"/>
    </row>
    <row r="7" spans="1:13" ht="34.5" customHeight="1" x14ac:dyDescent="0.25">
      <c r="A7" s="472" t="s">
        <v>393</v>
      </c>
      <c r="B7" s="472"/>
      <c r="C7" s="472"/>
      <c r="D7" s="472"/>
      <c r="E7" s="472"/>
      <c r="F7" s="472"/>
      <c r="G7" s="472"/>
      <c r="H7" s="472"/>
      <c r="I7" s="472"/>
      <c r="J7" s="472"/>
      <c r="K7" s="472"/>
      <c r="L7" s="472"/>
      <c r="M7" s="472"/>
    </row>
    <row r="8" spans="1:13" x14ac:dyDescent="0.25">
      <c r="A8" s="207"/>
    </row>
    <row r="9" spans="1:13" ht="18" customHeight="1" x14ac:dyDescent="0.25">
      <c r="A9" s="204" t="s">
        <v>410</v>
      </c>
    </row>
    <row r="10" spans="1:13" ht="7.5" customHeight="1" x14ac:dyDescent="0.25">
      <c r="A10" s="204"/>
    </row>
    <row r="11" spans="1:13" ht="17.25" customHeight="1" x14ac:dyDescent="0.25">
      <c r="A11" s="204" t="s">
        <v>409</v>
      </c>
    </row>
    <row r="12" spans="1:13" ht="11.25" customHeight="1" x14ac:dyDescent="0.25">
      <c r="A12" s="204"/>
    </row>
    <row r="13" spans="1:13" s="218" customFormat="1" ht="85.5" customHeight="1" x14ac:dyDescent="0.2">
      <c r="A13" s="480" t="s">
        <v>375</v>
      </c>
      <c r="B13" s="480" t="s">
        <v>403</v>
      </c>
      <c r="C13" s="480" t="s">
        <v>404</v>
      </c>
      <c r="D13" s="480" t="s">
        <v>405</v>
      </c>
      <c r="E13" s="484" t="s">
        <v>376</v>
      </c>
      <c r="F13" s="480" t="s">
        <v>406</v>
      </c>
      <c r="G13" s="480" t="s">
        <v>377</v>
      </c>
      <c r="H13" s="480" t="s">
        <v>380</v>
      </c>
      <c r="I13" s="480"/>
      <c r="J13" s="480"/>
      <c r="K13" s="480"/>
      <c r="L13" s="480" t="s">
        <v>378</v>
      </c>
      <c r="M13" s="480" t="s">
        <v>407</v>
      </c>
    </row>
    <row r="14" spans="1:13" s="218" customFormat="1" ht="24" customHeight="1" x14ac:dyDescent="0.2">
      <c r="A14" s="480"/>
      <c r="B14" s="480"/>
      <c r="C14" s="480"/>
      <c r="D14" s="480"/>
      <c r="E14" s="485"/>
      <c r="F14" s="480"/>
      <c r="G14" s="480"/>
      <c r="H14" s="205" t="s">
        <v>26</v>
      </c>
      <c r="I14" s="205" t="s">
        <v>4</v>
      </c>
      <c r="J14" s="205" t="s">
        <v>5</v>
      </c>
      <c r="K14" s="205" t="s">
        <v>94</v>
      </c>
      <c r="L14" s="480"/>
      <c r="M14" s="480"/>
    </row>
    <row r="15" spans="1:13" s="218" customFormat="1" ht="12.75" x14ac:dyDescent="0.2">
      <c r="A15" s="206">
        <v>1</v>
      </c>
      <c r="B15" s="206">
        <v>2</v>
      </c>
      <c r="C15" s="206">
        <v>3</v>
      </c>
      <c r="D15" s="206">
        <v>4</v>
      </c>
      <c r="E15" s="206">
        <v>5</v>
      </c>
      <c r="F15" s="206">
        <v>6</v>
      </c>
      <c r="G15" s="206">
        <v>7</v>
      </c>
      <c r="H15" s="206">
        <v>8</v>
      </c>
      <c r="I15" s="206">
        <v>9</v>
      </c>
      <c r="J15" s="206">
        <v>10</v>
      </c>
      <c r="K15" s="206">
        <v>11</v>
      </c>
      <c r="L15" s="206">
        <v>12</v>
      </c>
      <c r="M15" s="206">
        <v>13</v>
      </c>
    </row>
    <row r="16" spans="1:13" ht="19.5" customHeight="1" x14ac:dyDescent="0.25">
      <c r="A16" s="212" t="s">
        <v>2</v>
      </c>
      <c r="B16" s="213" t="s">
        <v>399</v>
      </c>
      <c r="C16" s="211"/>
      <c r="D16" s="211"/>
      <c r="E16" s="211"/>
      <c r="F16" s="211"/>
      <c r="G16" s="214" t="s">
        <v>11</v>
      </c>
      <c r="H16" s="215">
        <f>H17+H18</f>
        <v>0</v>
      </c>
      <c r="I16" s="215">
        <f t="shared" ref="I16:K16" si="0">I17+I18</f>
        <v>0</v>
      </c>
      <c r="J16" s="215">
        <f t="shared" si="0"/>
        <v>3500</v>
      </c>
      <c r="K16" s="215">
        <f t="shared" si="0"/>
        <v>0</v>
      </c>
      <c r="L16" s="214"/>
      <c r="M16" s="477" t="s">
        <v>408</v>
      </c>
    </row>
    <row r="17" spans="1:13" ht="64.5" customHeight="1" x14ac:dyDescent="0.25">
      <c r="A17" s="481"/>
      <c r="B17" s="482" t="s">
        <v>414</v>
      </c>
      <c r="C17" s="478"/>
      <c r="D17" s="483"/>
      <c r="E17" s="483"/>
      <c r="F17" s="483"/>
      <c r="G17" s="214" t="s">
        <v>12</v>
      </c>
      <c r="H17" s="215">
        <v>0</v>
      </c>
      <c r="I17" s="215">
        <v>0</v>
      </c>
      <c r="J17" s="215">
        <v>0</v>
      </c>
      <c r="K17" s="215">
        <v>0</v>
      </c>
      <c r="L17" s="214"/>
      <c r="M17" s="478"/>
    </row>
    <row r="18" spans="1:13" ht="32.25" customHeight="1" x14ac:dyDescent="0.25">
      <c r="A18" s="481"/>
      <c r="B18" s="482"/>
      <c r="C18" s="479"/>
      <c r="D18" s="483"/>
      <c r="E18" s="483"/>
      <c r="F18" s="483"/>
      <c r="G18" s="214" t="s">
        <v>400</v>
      </c>
      <c r="H18" s="215">
        <v>0</v>
      </c>
      <c r="I18" s="215">
        <v>0</v>
      </c>
      <c r="J18" s="215">
        <v>3500</v>
      </c>
      <c r="K18" s="215">
        <v>0</v>
      </c>
      <c r="L18" s="214"/>
      <c r="M18" s="478"/>
    </row>
    <row r="19" spans="1:13" x14ac:dyDescent="0.25">
      <c r="A19" s="216"/>
      <c r="B19" s="214" t="s">
        <v>402</v>
      </c>
      <c r="C19" s="216"/>
      <c r="D19" s="216"/>
      <c r="E19" s="216"/>
      <c r="F19" s="216"/>
      <c r="G19" s="216"/>
      <c r="H19" s="217">
        <f>H16</f>
        <v>0</v>
      </c>
      <c r="I19" s="217">
        <f t="shared" ref="I19:K19" si="1">I16</f>
        <v>0</v>
      </c>
      <c r="J19" s="217">
        <f t="shared" si="1"/>
        <v>3500</v>
      </c>
      <c r="K19" s="217">
        <f t="shared" si="1"/>
        <v>0</v>
      </c>
      <c r="L19" s="216"/>
      <c r="M19" s="479"/>
    </row>
  </sheetData>
  <mergeCells count="24">
    <mergeCell ref="G13:G14"/>
    <mergeCell ref="H13:K13"/>
    <mergeCell ref="M13:M14"/>
    <mergeCell ref="B13:B14"/>
    <mergeCell ref="C13:C14"/>
    <mergeCell ref="D13:D14"/>
    <mergeCell ref="E13:E14"/>
    <mergeCell ref="F13:F14"/>
    <mergeCell ref="M16:M19"/>
    <mergeCell ref="L13:L14"/>
    <mergeCell ref="A1:M1"/>
    <mergeCell ref="A2:M2"/>
    <mergeCell ref="A4:M4"/>
    <mergeCell ref="A5:M5"/>
    <mergeCell ref="A6:M6"/>
    <mergeCell ref="A7:M7"/>
    <mergeCell ref="A3:J3"/>
    <mergeCell ref="A17:A18"/>
    <mergeCell ref="B17:B18"/>
    <mergeCell ref="C17:C18"/>
    <mergeCell ref="D17:D18"/>
    <mergeCell ref="E17:E18"/>
    <mergeCell ref="F17:F18"/>
    <mergeCell ref="A13:A14"/>
  </mergeCells>
  <pageMargins left="0.51181102362204722" right="0.5118110236220472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6"/>
  <sheetViews>
    <sheetView zoomScale="110" zoomScaleNormal="110" workbookViewId="0">
      <selection activeCell="F18" sqref="F18"/>
    </sheetView>
  </sheetViews>
  <sheetFormatPr defaultRowHeight="14.25" x14ac:dyDescent="0.2"/>
  <cols>
    <col min="1" max="1" width="37.28515625" style="3" customWidth="1"/>
    <col min="2" max="2" width="15" style="3" customWidth="1"/>
    <col min="3" max="3" width="9.140625" style="3"/>
    <col min="4" max="4" width="17.5703125" style="3" customWidth="1"/>
    <col min="5" max="5" width="11.7109375" style="3" customWidth="1"/>
    <col min="6" max="7" width="11" style="3" customWidth="1"/>
    <col min="8" max="8" width="10.140625" style="3" customWidth="1"/>
    <col min="9" max="9" width="10.5703125" style="3" customWidth="1"/>
    <col min="10" max="10" width="11" style="3" customWidth="1"/>
    <col min="11" max="16384" width="9.140625" style="3"/>
  </cols>
  <sheetData>
    <row r="1" spans="1:11" ht="18" customHeight="1" x14ac:dyDescent="0.2">
      <c r="A1" s="251" t="s">
        <v>6</v>
      </c>
      <c r="B1" s="251"/>
      <c r="C1" s="251"/>
      <c r="D1" s="251"/>
      <c r="E1" s="251"/>
      <c r="F1" s="251"/>
      <c r="G1" s="251"/>
      <c r="H1" s="251"/>
      <c r="I1" s="251"/>
      <c r="J1" s="251"/>
    </row>
    <row r="2" spans="1:11" x14ac:dyDescent="0.2">
      <c r="A2" s="252" t="s">
        <v>114</v>
      </c>
      <c r="B2" s="252"/>
      <c r="C2" s="252"/>
      <c r="D2" s="252"/>
      <c r="E2" s="252"/>
      <c r="F2" s="252"/>
      <c r="G2" s="252"/>
      <c r="H2" s="252"/>
      <c r="I2" s="252"/>
      <c r="J2" s="252"/>
      <c r="K2" s="8"/>
    </row>
    <row r="3" spans="1:11" x14ac:dyDescent="0.2">
      <c r="A3" s="251" t="s">
        <v>122</v>
      </c>
      <c r="B3" s="251"/>
      <c r="C3" s="251"/>
      <c r="D3" s="251"/>
      <c r="E3" s="251"/>
      <c r="F3" s="251"/>
      <c r="G3" s="251"/>
      <c r="H3" s="251"/>
      <c r="I3" s="251"/>
      <c r="J3" s="251"/>
      <c r="K3" s="8"/>
    </row>
    <row r="4" spans="1:11" x14ac:dyDescent="0.2">
      <c r="A4" s="9"/>
    </row>
    <row r="5" spans="1:11" ht="21" customHeight="1" x14ac:dyDescent="0.2">
      <c r="A5" s="263" t="s">
        <v>64</v>
      </c>
      <c r="B5" s="263"/>
      <c r="C5" s="263"/>
      <c r="D5" s="263"/>
      <c r="E5" s="263"/>
      <c r="F5" s="263"/>
      <c r="G5" s="263"/>
      <c r="H5" s="263"/>
      <c r="I5" s="263"/>
      <c r="J5" s="263"/>
    </row>
    <row r="6" spans="1:11" ht="26.25" customHeight="1" x14ac:dyDescent="0.2">
      <c r="A6" s="264" t="s">
        <v>186</v>
      </c>
      <c r="B6" s="263"/>
      <c r="C6" s="263"/>
      <c r="D6" s="263"/>
      <c r="E6" s="263"/>
      <c r="F6" s="263"/>
      <c r="G6" s="263"/>
      <c r="H6" s="263"/>
      <c r="I6" s="263"/>
      <c r="J6" s="263"/>
    </row>
    <row r="7" spans="1:11" ht="38.25" customHeight="1" x14ac:dyDescent="0.2">
      <c r="A7" s="63" t="s">
        <v>7</v>
      </c>
      <c r="B7" s="259" t="s">
        <v>113</v>
      </c>
      <c r="C7" s="259"/>
      <c r="D7" s="259"/>
      <c r="E7" s="259"/>
      <c r="F7" s="259"/>
      <c r="G7" s="259"/>
      <c r="H7" s="259"/>
      <c r="I7" s="259"/>
      <c r="J7" s="260"/>
    </row>
    <row r="8" spans="1:11" ht="27.75" customHeight="1" x14ac:dyDescent="0.2">
      <c r="A8" s="256" t="s">
        <v>57</v>
      </c>
      <c r="B8" s="261" t="s">
        <v>13</v>
      </c>
      <c r="C8" s="261" t="s">
        <v>14</v>
      </c>
      <c r="D8" s="261"/>
      <c r="E8" s="262" t="s">
        <v>8</v>
      </c>
      <c r="F8" s="262"/>
      <c r="G8" s="262"/>
      <c r="H8" s="262"/>
      <c r="I8" s="262"/>
      <c r="J8" s="262"/>
    </row>
    <row r="9" spans="1:11" ht="27.75" customHeight="1" x14ac:dyDescent="0.2">
      <c r="A9" s="257"/>
      <c r="B9" s="261"/>
      <c r="C9" s="261"/>
      <c r="D9" s="261"/>
      <c r="E9" s="49" t="s">
        <v>9</v>
      </c>
      <c r="F9" s="49" t="s">
        <v>10</v>
      </c>
      <c r="G9" s="49" t="s">
        <v>97</v>
      </c>
      <c r="H9" s="49" t="s">
        <v>98</v>
      </c>
      <c r="I9" s="49" t="s">
        <v>99</v>
      </c>
      <c r="J9" s="49" t="s">
        <v>11</v>
      </c>
    </row>
    <row r="10" spans="1:11" ht="32.25" customHeight="1" x14ac:dyDescent="0.2">
      <c r="A10" s="257"/>
      <c r="B10" s="268" t="s">
        <v>167</v>
      </c>
      <c r="C10" s="265" t="s">
        <v>124</v>
      </c>
      <c r="D10" s="265"/>
      <c r="E10" s="55">
        <f t="shared" ref="E10:I10" si="0">E11+E12+E13</f>
        <v>94786.490819999992</v>
      </c>
      <c r="F10" s="55">
        <f t="shared" si="0"/>
        <v>66542.937719999987</v>
      </c>
      <c r="G10" s="55">
        <f t="shared" si="0"/>
        <v>71657.5</v>
      </c>
      <c r="H10" s="55">
        <f t="shared" si="0"/>
        <v>63835.6</v>
      </c>
      <c r="I10" s="55">
        <f t="shared" si="0"/>
        <v>63835.6</v>
      </c>
      <c r="J10" s="55">
        <f>SUM(J11:J13)</f>
        <v>360658.12853999995</v>
      </c>
    </row>
    <row r="11" spans="1:11" ht="42" customHeight="1" x14ac:dyDescent="0.2">
      <c r="A11" s="257"/>
      <c r="B11" s="268"/>
      <c r="C11" s="266" t="s">
        <v>78</v>
      </c>
      <c r="D11" s="267"/>
      <c r="E11" s="55">
        <f>'Прил 7 Перечень мероприятий'!G13+'Прил 7 Перечень мероприятий'!G45</f>
        <v>68362.120819999996</v>
      </c>
      <c r="F11" s="55">
        <f>'Прил 7 Перечень мероприятий'!H13+'Прил 7 Перечень мероприятий'!H45</f>
        <v>66542.937719999987</v>
      </c>
      <c r="G11" s="55">
        <f>'Прил 7 Перечень мероприятий'!I13+'Прил 7 Перечень мероприятий'!I45</f>
        <v>63718.299999999996</v>
      </c>
      <c r="H11" s="55">
        <f>'Прил 7 Перечень мероприятий'!J13+'Прил 7 Перечень мероприятий'!J45</f>
        <v>63835.6</v>
      </c>
      <c r="I11" s="55">
        <f>'Прил 7 Перечень мероприятий'!K13+'Прил 7 Перечень мероприятий'!K45</f>
        <v>63835.6</v>
      </c>
      <c r="J11" s="55">
        <f>SUM(E11:I11)</f>
        <v>326294.55853999994</v>
      </c>
    </row>
    <row r="12" spans="1:11" ht="53.25" customHeight="1" x14ac:dyDescent="0.2">
      <c r="A12" s="257"/>
      <c r="B12" s="268"/>
      <c r="C12" s="265" t="s">
        <v>12</v>
      </c>
      <c r="D12" s="265"/>
      <c r="E12" s="55">
        <f>'Прил 7 Перечень мероприятий'!G63</f>
        <v>26424.37</v>
      </c>
      <c r="F12" s="55">
        <f>'Прил 7 Перечень мероприятий'!H63</f>
        <v>0</v>
      </c>
      <c r="G12" s="55">
        <f>'Прил 7 Перечень мероприятий'!I63</f>
        <v>7939.2</v>
      </c>
      <c r="H12" s="55">
        <f>'Прил 7 Перечень мероприятий'!J59</f>
        <v>0</v>
      </c>
      <c r="I12" s="55">
        <f>'Прил 7 Перечень мероприятий'!K59</f>
        <v>0</v>
      </c>
      <c r="J12" s="55">
        <f>SUM(E12:I12)</f>
        <v>34363.57</v>
      </c>
    </row>
    <row r="13" spans="1:11" ht="42" customHeight="1" x14ac:dyDescent="0.2">
      <c r="A13" s="258"/>
      <c r="B13" s="268"/>
      <c r="C13" s="265" t="s">
        <v>55</v>
      </c>
      <c r="D13" s="265"/>
      <c r="E13" s="55">
        <v>0</v>
      </c>
      <c r="F13" s="55">
        <v>0</v>
      </c>
      <c r="G13" s="55">
        <v>0</v>
      </c>
      <c r="H13" s="55">
        <v>0</v>
      </c>
      <c r="I13" s="55">
        <v>0</v>
      </c>
      <c r="J13" s="55">
        <f>SUM(E13:I13)</f>
        <v>0</v>
      </c>
    </row>
    <row r="14" spans="1:11" x14ac:dyDescent="0.2">
      <c r="A14" s="6"/>
    </row>
    <row r="15" spans="1:11" x14ac:dyDescent="0.2">
      <c r="A15" s="9"/>
    </row>
    <row r="16" spans="1:11" x14ac:dyDescent="0.2">
      <c r="F16" s="18"/>
      <c r="G16" s="18"/>
      <c r="H16" s="18"/>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C12" sqref="C12:D12"/>
    </sheetView>
  </sheetViews>
  <sheetFormatPr defaultRowHeight="14.25" x14ac:dyDescent="0.2"/>
  <cols>
    <col min="1" max="1" width="37.7109375" style="11" customWidth="1"/>
    <col min="2" max="2" width="15.85546875" style="11" customWidth="1"/>
    <col min="3" max="3" width="9.140625" style="11"/>
    <col min="4" max="4" width="16"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252" t="s">
        <v>16</v>
      </c>
      <c r="B1" s="252"/>
      <c r="C1" s="252"/>
      <c r="D1" s="252"/>
      <c r="E1" s="252"/>
      <c r="F1" s="252"/>
      <c r="G1" s="252"/>
      <c r="H1" s="252"/>
      <c r="I1" s="252"/>
      <c r="J1" s="252"/>
    </row>
    <row r="2" spans="1:11" x14ac:dyDescent="0.2">
      <c r="A2" s="252" t="s">
        <v>114</v>
      </c>
      <c r="B2" s="252"/>
      <c r="C2" s="252"/>
      <c r="D2" s="252"/>
      <c r="E2" s="252"/>
      <c r="F2" s="252"/>
      <c r="G2" s="252"/>
      <c r="H2" s="252"/>
      <c r="I2" s="252"/>
      <c r="J2" s="252"/>
      <c r="K2" s="12"/>
    </row>
    <row r="3" spans="1:11" ht="15" x14ac:dyDescent="0.2">
      <c r="A3" s="252" t="s">
        <v>123</v>
      </c>
      <c r="B3" s="252"/>
      <c r="C3" s="252"/>
      <c r="D3" s="252"/>
      <c r="E3" s="252"/>
      <c r="F3" s="252"/>
      <c r="G3" s="252"/>
      <c r="H3" s="252"/>
      <c r="I3" s="252"/>
      <c r="J3" s="252"/>
      <c r="K3" s="12"/>
    </row>
    <row r="4" spans="1:11" x14ac:dyDescent="0.2">
      <c r="A4" s="43"/>
    </row>
    <row r="5" spans="1:11" x14ac:dyDescent="0.2">
      <c r="A5" s="273" t="s">
        <v>81</v>
      </c>
      <c r="B5" s="273"/>
      <c r="C5" s="273"/>
      <c r="D5" s="273"/>
      <c r="E5" s="273"/>
      <c r="F5" s="273"/>
      <c r="G5" s="273"/>
      <c r="H5" s="273"/>
      <c r="I5" s="273"/>
      <c r="J5" s="273"/>
    </row>
    <row r="6" spans="1:11" x14ac:dyDescent="0.2">
      <c r="A6" s="274" t="s">
        <v>80</v>
      </c>
      <c r="B6" s="274"/>
      <c r="C6" s="274"/>
      <c r="D6" s="274"/>
      <c r="E6" s="274"/>
      <c r="F6" s="274"/>
      <c r="G6" s="274"/>
      <c r="H6" s="274"/>
      <c r="I6" s="274"/>
      <c r="J6" s="274"/>
    </row>
    <row r="7" spans="1:11" x14ac:dyDescent="0.2">
      <c r="A7" s="14"/>
    </row>
    <row r="8" spans="1:11" s="3" customFormat="1" ht="38.25" customHeight="1" x14ac:dyDescent="0.2">
      <c r="A8" s="63" t="s">
        <v>7</v>
      </c>
      <c r="B8" s="269" t="s">
        <v>113</v>
      </c>
      <c r="C8" s="269"/>
      <c r="D8" s="269"/>
      <c r="E8" s="269"/>
      <c r="F8" s="269"/>
      <c r="G8" s="269"/>
      <c r="H8" s="269"/>
      <c r="I8" s="269"/>
      <c r="J8" s="270"/>
    </row>
    <row r="9" spans="1:11" s="3" customFormat="1" ht="27.75" customHeight="1" x14ac:dyDescent="0.2">
      <c r="A9" s="271" t="s">
        <v>57</v>
      </c>
      <c r="B9" s="261" t="s">
        <v>13</v>
      </c>
      <c r="C9" s="272" t="s">
        <v>14</v>
      </c>
      <c r="D9" s="272"/>
      <c r="E9" s="262" t="s">
        <v>8</v>
      </c>
      <c r="F9" s="262"/>
      <c r="G9" s="262"/>
      <c r="H9" s="262"/>
      <c r="I9" s="262"/>
      <c r="J9" s="262"/>
    </row>
    <row r="10" spans="1:11" s="3" customFormat="1" ht="24" customHeight="1" x14ac:dyDescent="0.2">
      <c r="A10" s="271"/>
      <c r="B10" s="261"/>
      <c r="C10" s="272"/>
      <c r="D10" s="272"/>
      <c r="E10" s="42" t="s">
        <v>9</v>
      </c>
      <c r="F10" s="42" t="s">
        <v>10</v>
      </c>
      <c r="G10" s="42" t="s">
        <v>97</v>
      </c>
      <c r="H10" s="42" t="s">
        <v>98</v>
      </c>
      <c r="I10" s="42" t="s">
        <v>99</v>
      </c>
      <c r="J10" s="42" t="s">
        <v>11</v>
      </c>
    </row>
    <row r="11" spans="1:11" s="3" customFormat="1" ht="34.5" customHeight="1" x14ac:dyDescent="0.2">
      <c r="A11" s="271"/>
      <c r="B11" s="268" t="s">
        <v>167</v>
      </c>
      <c r="C11" s="265" t="s">
        <v>125</v>
      </c>
      <c r="D11" s="265"/>
      <c r="E11" s="55">
        <f>SUM(E12:E14)</f>
        <v>37882.112949999995</v>
      </c>
      <c r="F11" s="55">
        <f t="shared" ref="F11:I11" si="0">SUM(F12:F14)</f>
        <v>36406.656389999996</v>
      </c>
      <c r="G11" s="55">
        <f t="shared" si="0"/>
        <v>34401.700000000004</v>
      </c>
      <c r="H11" s="55">
        <f t="shared" si="0"/>
        <v>34448.5</v>
      </c>
      <c r="I11" s="55">
        <f t="shared" si="0"/>
        <v>34448.5</v>
      </c>
      <c r="J11" s="55">
        <f>SUM(J12:J14)</f>
        <v>177587.46934000001</v>
      </c>
    </row>
    <row r="12" spans="1:11" s="3" customFormat="1" ht="39.75" customHeight="1" x14ac:dyDescent="0.2">
      <c r="A12" s="271"/>
      <c r="B12" s="268"/>
      <c r="C12" s="265" t="s">
        <v>78</v>
      </c>
      <c r="D12" s="265"/>
      <c r="E12" s="55">
        <f>'Прил 7 Перечень мероприятий'!G105</f>
        <v>37882.112949999995</v>
      </c>
      <c r="F12" s="55">
        <f>'Прил 7 Перечень мероприятий'!H105</f>
        <v>36406.656389999996</v>
      </c>
      <c r="G12" s="55">
        <f>'Прил 7 Перечень мероприятий'!I105</f>
        <v>34401.700000000004</v>
      </c>
      <c r="H12" s="55">
        <f>'Прил 7 Перечень мероприятий'!J105</f>
        <v>34448.5</v>
      </c>
      <c r="I12" s="55">
        <f>'Прил 7 Перечень мероприятий'!K105</f>
        <v>34448.5</v>
      </c>
      <c r="J12" s="55">
        <f>SUM(E12:I12)</f>
        <v>177587.46934000001</v>
      </c>
    </row>
    <row r="13" spans="1:11" s="3" customFormat="1" ht="49.5" customHeight="1" x14ac:dyDescent="0.2">
      <c r="A13" s="271"/>
      <c r="B13" s="268"/>
      <c r="C13" s="265" t="s">
        <v>12</v>
      </c>
      <c r="D13" s="265"/>
      <c r="E13" s="55">
        <v>0</v>
      </c>
      <c r="F13" s="55">
        <v>0</v>
      </c>
      <c r="G13" s="55">
        <v>0</v>
      </c>
      <c r="H13" s="55">
        <v>0</v>
      </c>
      <c r="I13" s="55">
        <v>0</v>
      </c>
      <c r="J13" s="55">
        <f>SUM(E13:I13)</f>
        <v>0</v>
      </c>
    </row>
    <row r="14" spans="1:11" s="3" customFormat="1" ht="43.5" customHeight="1" x14ac:dyDescent="0.2">
      <c r="A14" s="271"/>
      <c r="B14" s="268"/>
      <c r="C14" s="265" t="s">
        <v>55</v>
      </c>
      <c r="D14" s="265"/>
      <c r="E14" s="55">
        <v>0</v>
      </c>
      <c r="F14" s="55">
        <v>0</v>
      </c>
      <c r="G14" s="55">
        <v>0</v>
      </c>
      <c r="H14" s="55">
        <v>0</v>
      </c>
      <c r="I14" s="55">
        <v>0</v>
      </c>
      <c r="J14" s="55">
        <f>SUM(E14:I14)</f>
        <v>0</v>
      </c>
    </row>
    <row r="15" spans="1:11" x14ac:dyDescent="0.2">
      <c r="A15" s="16"/>
      <c r="B15" s="16"/>
      <c r="C15" s="16"/>
      <c r="D15" s="16"/>
      <c r="E15" s="16"/>
      <c r="F15" s="17"/>
      <c r="G15" s="17"/>
      <c r="H15" s="16"/>
      <c r="I15" s="16"/>
      <c r="J15" s="16"/>
    </row>
    <row r="16" spans="1:11" x14ac:dyDescent="0.2">
      <c r="A16" s="43"/>
      <c r="F16" s="126"/>
      <c r="G16" s="126"/>
      <c r="H16" s="126"/>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B12" sqref="B12:B15"/>
    </sheetView>
  </sheetViews>
  <sheetFormatPr defaultRowHeight="14.25" x14ac:dyDescent="0.2"/>
  <cols>
    <col min="1" max="1" width="37.5703125" style="11" customWidth="1"/>
    <col min="2" max="2" width="15.5703125" style="11" customWidth="1"/>
    <col min="3" max="3" width="9.140625" style="11"/>
    <col min="4" max="4" width="16.140625"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252" t="s">
        <v>106</v>
      </c>
      <c r="B1" s="252"/>
      <c r="C1" s="252"/>
      <c r="D1" s="252"/>
      <c r="E1" s="252"/>
      <c r="F1" s="252"/>
      <c r="G1" s="252"/>
      <c r="H1" s="252"/>
      <c r="I1" s="252"/>
      <c r="J1" s="252"/>
    </row>
    <row r="2" spans="1:11" x14ac:dyDescent="0.2">
      <c r="A2" s="252" t="s">
        <v>114</v>
      </c>
      <c r="B2" s="252"/>
      <c r="C2" s="252"/>
      <c r="D2" s="252"/>
      <c r="E2" s="252"/>
      <c r="F2" s="252"/>
      <c r="G2" s="252"/>
      <c r="H2" s="252"/>
      <c r="I2" s="252"/>
      <c r="J2" s="252"/>
      <c r="K2" s="12"/>
    </row>
    <row r="3" spans="1:11" ht="15" x14ac:dyDescent="0.2">
      <c r="A3" s="252" t="s">
        <v>126</v>
      </c>
      <c r="B3" s="252"/>
      <c r="C3" s="252"/>
      <c r="D3" s="252"/>
      <c r="E3" s="252"/>
      <c r="F3" s="252"/>
      <c r="G3" s="252"/>
      <c r="H3" s="252"/>
      <c r="I3" s="252"/>
      <c r="J3" s="252"/>
      <c r="K3" s="12"/>
    </row>
    <row r="4" spans="1:11" x14ac:dyDescent="0.2">
      <c r="A4" s="13"/>
    </row>
    <row r="5" spans="1:11" x14ac:dyDescent="0.2">
      <c r="A5" s="273" t="s">
        <v>107</v>
      </c>
      <c r="B5" s="273"/>
      <c r="C5" s="273"/>
      <c r="D5" s="273"/>
      <c r="E5" s="273"/>
      <c r="F5" s="273"/>
      <c r="G5" s="273"/>
      <c r="H5" s="273"/>
      <c r="I5" s="273"/>
      <c r="J5" s="273"/>
    </row>
    <row r="6" spans="1:11" x14ac:dyDescent="0.2">
      <c r="A6" s="274" t="s">
        <v>19</v>
      </c>
      <c r="B6" s="274"/>
      <c r="C6" s="274"/>
      <c r="D6" s="274"/>
      <c r="E6" s="274"/>
      <c r="F6" s="274"/>
      <c r="G6" s="274"/>
      <c r="H6" s="274"/>
      <c r="I6" s="274"/>
      <c r="J6" s="274"/>
    </row>
    <row r="7" spans="1:11" x14ac:dyDescent="0.2">
      <c r="A7" s="14"/>
    </row>
    <row r="8" spans="1:11" ht="38.25" customHeight="1" x14ac:dyDescent="0.2">
      <c r="A8" s="64" t="s">
        <v>7</v>
      </c>
      <c r="B8" s="275" t="s">
        <v>113</v>
      </c>
      <c r="C8" s="275"/>
      <c r="D8" s="275"/>
      <c r="E8" s="275"/>
      <c r="F8" s="275"/>
      <c r="G8" s="275"/>
      <c r="H8" s="275"/>
      <c r="I8" s="275"/>
      <c r="J8" s="276"/>
    </row>
    <row r="9" spans="1:11" ht="27.75" customHeight="1" x14ac:dyDescent="0.2">
      <c r="A9" s="278" t="s">
        <v>15</v>
      </c>
      <c r="B9" s="279" t="s">
        <v>13</v>
      </c>
      <c r="C9" s="280" t="s">
        <v>14</v>
      </c>
      <c r="D9" s="280"/>
      <c r="E9" s="281" t="s">
        <v>8</v>
      </c>
      <c r="F9" s="281"/>
      <c r="G9" s="281"/>
      <c r="H9" s="281"/>
      <c r="I9" s="281"/>
      <c r="J9" s="281"/>
    </row>
    <row r="10" spans="1:11" ht="31.5" hidden="1" customHeight="1" x14ac:dyDescent="0.2">
      <c r="A10" s="278"/>
      <c r="B10" s="279"/>
      <c r="C10" s="280"/>
      <c r="D10" s="280"/>
      <c r="E10" s="281"/>
      <c r="F10" s="281"/>
      <c r="G10" s="281"/>
      <c r="H10" s="281"/>
      <c r="I10" s="281"/>
      <c r="J10" s="281"/>
    </row>
    <row r="11" spans="1:11" ht="27.75" customHeight="1" x14ac:dyDescent="0.2">
      <c r="A11" s="278"/>
      <c r="B11" s="279"/>
      <c r="C11" s="280"/>
      <c r="D11" s="280"/>
      <c r="E11" s="15" t="s">
        <v>9</v>
      </c>
      <c r="F11" s="15" t="s">
        <v>10</v>
      </c>
      <c r="G11" s="15" t="s">
        <v>97</v>
      </c>
      <c r="H11" s="15" t="s">
        <v>98</v>
      </c>
      <c r="I11" s="15" t="s">
        <v>99</v>
      </c>
      <c r="J11" s="15" t="s">
        <v>11</v>
      </c>
    </row>
    <row r="12" spans="1:11" ht="46.5" customHeight="1" x14ac:dyDescent="0.2">
      <c r="A12" s="278"/>
      <c r="B12" s="279" t="s">
        <v>167</v>
      </c>
      <c r="C12" s="277" t="s">
        <v>127</v>
      </c>
      <c r="D12" s="277"/>
      <c r="E12" s="122">
        <f t="shared" ref="E12:J12" si="0">E13+E14+E15</f>
        <v>7117.8265600000004</v>
      </c>
      <c r="F12" s="122">
        <f t="shared" si="0"/>
        <v>7630.5610000000006</v>
      </c>
      <c r="G12" s="122">
        <f t="shared" si="0"/>
        <v>7776.8</v>
      </c>
      <c r="H12" s="122">
        <f t="shared" si="0"/>
        <v>7787.6</v>
      </c>
      <c r="I12" s="122">
        <f t="shared" si="0"/>
        <v>7787.6</v>
      </c>
      <c r="J12" s="122">
        <f t="shared" si="0"/>
        <v>38100.387560000003</v>
      </c>
    </row>
    <row r="13" spans="1:11" ht="46.5" customHeight="1" x14ac:dyDescent="0.2">
      <c r="A13" s="278"/>
      <c r="B13" s="279"/>
      <c r="C13" s="277" t="s">
        <v>78</v>
      </c>
      <c r="D13" s="277"/>
      <c r="E13" s="122">
        <f>'Прил 7 Перечень мероприятий'!G131</f>
        <v>7117.8265600000004</v>
      </c>
      <c r="F13" s="122">
        <f>'Прил 7 Перечень мероприятий'!H131</f>
        <v>7630.5610000000006</v>
      </c>
      <c r="G13" s="122">
        <f>'Прил 7 Перечень мероприятий'!I131</f>
        <v>7776.8</v>
      </c>
      <c r="H13" s="122">
        <f>'Прил 7 Перечень мероприятий'!J131</f>
        <v>7787.6</v>
      </c>
      <c r="I13" s="122">
        <f>'Прил 7 Перечень мероприятий'!K131</f>
        <v>7787.6</v>
      </c>
      <c r="J13" s="122">
        <f>E13+F13+G13+H13+I13</f>
        <v>38100.387560000003</v>
      </c>
    </row>
    <row r="14" spans="1:11" ht="45" customHeight="1" x14ac:dyDescent="0.2">
      <c r="A14" s="278"/>
      <c r="B14" s="279"/>
      <c r="C14" s="277" t="s">
        <v>12</v>
      </c>
      <c r="D14" s="277"/>
      <c r="E14" s="122">
        <v>0</v>
      </c>
      <c r="F14" s="122">
        <v>0</v>
      </c>
      <c r="G14" s="122">
        <v>0</v>
      </c>
      <c r="H14" s="122">
        <v>0</v>
      </c>
      <c r="I14" s="122">
        <v>0</v>
      </c>
      <c r="J14" s="122">
        <v>0</v>
      </c>
    </row>
    <row r="15" spans="1:11" ht="48.75" customHeight="1" x14ac:dyDescent="0.2">
      <c r="A15" s="278"/>
      <c r="B15" s="279"/>
      <c r="C15" s="277" t="s">
        <v>55</v>
      </c>
      <c r="D15" s="277"/>
      <c r="E15" s="122">
        <v>0</v>
      </c>
      <c r="F15" s="122">
        <v>0</v>
      </c>
      <c r="G15" s="122">
        <v>0</v>
      </c>
      <c r="H15" s="122">
        <v>0</v>
      </c>
      <c r="I15" s="122">
        <v>0</v>
      </c>
      <c r="J15" s="122">
        <v>0</v>
      </c>
    </row>
    <row r="16" spans="1:11" x14ac:dyDescent="0.2">
      <c r="A16" s="16"/>
      <c r="B16" s="16"/>
      <c r="C16" s="16"/>
      <c r="D16" s="16"/>
      <c r="E16" s="16"/>
      <c r="F16" s="17"/>
      <c r="G16" s="17"/>
      <c r="H16" s="16"/>
      <c r="I16" s="16"/>
      <c r="J16" s="16"/>
    </row>
    <row r="17" spans="1:8" x14ac:dyDescent="0.2">
      <c r="A17" s="13"/>
      <c r="F17" s="126"/>
      <c r="G17" s="126"/>
      <c r="H17" s="126"/>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5"/>
  <sheetViews>
    <sheetView view="pageBreakPreview" zoomScale="90" zoomScaleNormal="90" zoomScaleSheetLayoutView="90" workbookViewId="0">
      <pane xSplit="1" ySplit="9" topLeftCell="B10" activePane="bottomRight" state="frozen"/>
      <selection pane="topRight" activeCell="B1" sqref="B1"/>
      <selection pane="bottomLeft" activeCell="A10" sqref="A10"/>
      <selection pane="bottomRight" activeCell="F14" sqref="F14"/>
    </sheetView>
  </sheetViews>
  <sheetFormatPr defaultRowHeight="14.25" x14ac:dyDescent="0.2"/>
  <cols>
    <col min="1" max="1" width="5" style="48" customWidth="1"/>
    <col min="2" max="2" width="42.85546875" style="3" customWidth="1"/>
    <col min="3" max="3" width="16.5703125" style="3" customWidth="1"/>
    <col min="4" max="4" width="12" style="3" customWidth="1"/>
    <col min="5" max="5" width="16" style="48" customWidth="1"/>
    <col min="6" max="10" width="13.140625" style="3" customWidth="1"/>
    <col min="11" max="11" width="16" style="3" customWidth="1"/>
    <col min="12" max="16384" width="9.140625" style="3"/>
  </cols>
  <sheetData>
    <row r="1" spans="1:15" x14ac:dyDescent="0.2">
      <c r="A1" s="251" t="s">
        <v>17</v>
      </c>
      <c r="B1" s="251"/>
      <c r="C1" s="251"/>
      <c r="D1" s="251"/>
      <c r="E1" s="251"/>
      <c r="F1" s="251"/>
      <c r="G1" s="251"/>
      <c r="H1" s="251"/>
      <c r="I1" s="251"/>
      <c r="J1" s="251"/>
      <c r="K1" s="251"/>
    </row>
    <row r="2" spans="1:15" x14ac:dyDescent="0.2">
      <c r="A2" s="251" t="s">
        <v>114</v>
      </c>
      <c r="B2" s="251"/>
      <c r="C2" s="251"/>
      <c r="D2" s="251"/>
      <c r="E2" s="251"/>
      <c r="F2" s="251"/>
      <c r="G2" s="251"/>
      <c r="H2" s="251"/>
      <c r="I2" s="251"/>
      <c r="J2" s="251"/>
      <c r="K2" s="251"/>
    </row>
    <row r="3" spans="1:15" x14ac:dyDescent="0.2">
      <c r="A3" s="251" t="s">
        <v>121</v>
      </c>
      <c r="B3" s="251"/>
      <c r="C3" s="251"/>
      <c r="D3" s="251"/>
      <c r="E3" s="251"/>
      <c r="F3" s="251"/>
      <c r="G3" s="251"/>
      <c r="H3" s="251"/>
      <c r="I3" s="251"/>
      <c r="J3" s="251"/>
      <c r="K3" s="251"/>
    </row>
    <row r="4" spans="1:15" ht="12" customHeight="1" x14ac:dyDescent="0.2">
      <c r="A4" s="117"/>
    </row>
    <row r="5" spans="1:15" x14ac:dyDescent="0.2">
      <c r="A5" s="263" t="s">
        <v>115</v>
      </c>
      <c r="B5" s="263"/>
      <c r="C5" s="263"/>
      <c r="D5" s="263"/>
      <c r="E5" s="263"/>
      <c r="F5" s="263"/>
      <c r="G5" s="263"/>
      <c r="H5" s="263"/>
      <c r="I5" s="263"/>
      <c r="J5" s="263"/>
      <c r="K5" s="263"/>
    </row>
    <row r="6" spans="1:15" x14ac:dyDescent="0.2">
      <c r="A6" s="263" t="s">
        <v>118</v>
      </c>
      <c r="B6" s="263"/>
      <c r="C6" s="263"/>
      <c r="D6" s="263"/>
      <c r="E6" s="263"/>
      <c r="F6" s="263"/>
      <c r="G6" s="263"/>
      <c r="H6" s="263"/>
      <c r="I6" s="263"/>
      <c r="J6" s="263"/>
      <c r="K6" s="263"/>
    </row>
    <row r="7" spans="1:15" ht="11.25" customHeight="1" x14ac:dyDescent="0.2">
      <c r="A7" s="110"/>
    </row>
    <row r="8" spans="1:15" ht="17.25" customHeight="1" x14ac:dyDescent="0.2">
      <c r="A8" s="262" t="s">
        <v>129</v>
      </c>
      <c r="B8" s="285" t="s">
        <v>130</v>
      </c>
      <c r="C8" s="285" t="s">
        <v>131</v>
      </c>
      <c r="D8" s="285" t="s">
        <v>1</v>
      </c>
      <c r="E8" s="262" t="s">
        <v>135</v>
      </c>
      <c r="F8" s="262" t="s">
        <v>134</v>
      </c>
      <c r="G8" s="262"/>
      <c r="H8" s="262"/>
      <c r="I8" s="262"/>
      <c r="J8" s="262"/>
      <c r="K8" s="262" t="s">
        <v>132</v>
      </c>
      <c r="L8" s="57"/>
    </row>
    <row r="9" spans="1:15" ht="87.75" customHeight="1" x14ac:dyDescent="0.2">
      <c r="A9" s="262"/>
      <c r="B9" s="286"/>
      <c r="C9" s="286"/>
      <c r="D9" s="286"/>
      <c r="E9" s="262"/>
      <c r="F9" s="116" t="s">
        <v>4</v>
      </c>
      <c r="G9" s="116" t="s">
        <v>5</v>
      </c>
      <c r="H9" s="116" t="s">
        <v>94</v>
      </c>
      <c r="I9" s="116" t="s">
        <v>95</v>
      </c>
      <c r="J9" s="116" t="s">
        <v>96</v>
      </c>
      <c r="K9" s="262"/>
      <c r="L9" s="6"/>
    </row>
    <row r="10" spans="1:15" x14ac:dyDescent="0.2">
      <c r="A10" s="111">
        <v>1</v>
      </c>
      <c r="B10" s="111">
        <v>2</v>
      </c>
      <c r="C10" s="111">
        <v>3</v>
      </c>
      <c r="D10" s="111">
        <v>4</v>
      </c>
      <c r="E10" s="111">
        <v>5</v>
      </c>
      <c r="F10" s="111">
        <v>6</v>
      </c>
      <c r="G10" s="111">
        <v>7</v>
      </c>
      <c r="H10" s="111">
        <v>8</v>
      </c>
      <c r="I10" s="111">
        <v>9</v>
      </c>
      <c r="J10" s="111">
        <v>10</v>
      </c>
      <c r="K10" s="111">
        <v>11</v>
      </c>
      <c r="L10" s="6"/>
    </row>
    <row r="11" spans="1:15" ht="23.25" customHeight="1" x14ac:dyDescent="0.2">
      <c r="A11" s="287" t="s">
        <v>56</v>
      </c>
      <c r="B11" s="288"/>
      <c r="C11" s="288"/>
      <c r="D11" s="288"/>
      <c r="E11" s="288"/>
      <c r="F11" s="288"/>
      <c r="G11" s="288"/>
      <c r="H11" s="288"/>
      <c r="I11" s="288"/>
      <c r="J11" s="288"/>
      <c r="K11" s="289"/>
      <c r="L11" s="57"/>
    </row>
    <row r="12" spans="1:15" ht="87" customHeight="1" x14ac:dyDescent="0.2">
      <c r="A12" s="60" t="s">
        <v>32</v>
      </c>
      <c r="B12" s="113" t="s">
        <v>309</v>
      </c>
      <c r="C12" s="55" t="s">
        <v>312</v>
      </c>
      <c r="D12" s="111" t="s">
        <v>136</v>
      </c>
      <c r="E12" s="118">
        <v>38.5</v>
      </c>
      <c r="F12" s="111">
        <v>38.5</v>
      </c>
      <c r="G12" s="111">
        <v>40.5</v>
      </c>
      <c r="H12" s="111">
        <v>43.6</v>
      </c>
      <c r="I12" s="111">
        <v>45.1</v>
      </c>
      <c r="J12" s="111">
        <v>45.2</v>
      </c>
      <c r="K12" s="114">
        <v>1</v>
      </c>
      <c r="L12" s="57"/>
    </row>
    <row r="13" spans="1:15" ht="57" customHeight="1" x14ac:dyDescent="0.2">
      <c r="A13" s="60" t="s">
        <v>33</v>
      </c>
      <c r="B13" s="112" t="s">
        <v>315</v>
      </c>
      <c r="C13" s="55" t="s">
        <v>312</v>
      </c>
      <c r="D13" s="111" t="s">
        <v>136</v>
      </c>
      <c r="E13" s="67">
        <v>77</v>
      </c>
      <c r="F13" s="114">
        <v>77</v>
      </c>
      <c r="G13" s="114">
        <v>81</v>
      </c>
      <c r="H13" s="114">
        <v>85</v>
      </c>
      <c r="I13" s="114">
        <v>86</v>
      </c>
      <c r="J13" s="114">
        <v>87</v>
      </c>
      <c r="K13" s="114">
        <v>1</v>
      </c>
      <c r="L13" s="6"/>
    </row>
    <row r="14" spans="1:15" ht="69.75" customHeight="1" x14ac:dyDescent="0.2">
      <c r="A14" s="60" t="s">
        <v>34</v>
      </c>
      <c r="B14" s="112" t="s">
        <v>316</v>
      </c>
      <c r="C14" s="55"/>
      <c r="D14" s="111" t="s">
        <v>136</v>
      </c>
      <c r="E14" s="67">
        <v>21</v>
      </c>
      <c r="F14" s="114">
        <v>21</v>
      </c>
      <c r="G14" s="114">
        <v>25.3</v>
      </c>
      <c r="H14" s="114">
        <v>28.9</v>
      </c>
      <c r="I14" s="114">
        <v>28.9</v>
      </c>
      <c r="J14" s="114">
        <v>29</v>
      </c>
      <c r="K14" s="114">
        <v>1</v>
      </c>
      <c r="L14" s="6"/>
    </row>
    <row r="15" spans="1:15" ht="67.5" customHeight="1" x14ac:dyDescent="0.2">
      <c r="A15" s="290" t="s">
        <v>72</v>
      </c>
      <c r="B15" s="202" t="s">
        <v>139</v>
      </c>
      <c r="C15" s="138"/>
      <c r="D15" s="158" t="s">
        <v>149</v>
      </c>
      <c r="E15" s="198">
        <v>71.88</v>
      </c>
      <c r="F15" s="198">
        <v>72.61</v>
      </c>
      <c r="G15" s="198">
        <v>72.61</v>
      </c>
      <c r="H15" s="198">
        <v>72.61</v>
      </c>
      <c r="I15" s="198">
        <v>72.61</v>
      </c>
      <c r="J15" s="198">
        <v>72.61</v>
      </c>
      <c r="K15" s="158">
        <v>1</v>
      </c>
      <c r="L15" s="6"/>
      <c r="O15" s="68"/>
    </row>
    <row r="16" spans="1:15" ht="48.75" customHeight="1" x14ac:dyDescent="0.2">
      <c r="A16" s="291"/>
      <c r="B16" s="202" t="s">
        <v>372</v>
      </c>
      <c r="C16" s="138"/>
      <c r="D16" s="158" t="s">
        <v>373</v>
      </c>
      <c r="E16" s="203">
        <v>4517</v>
      </c>
      <c r="F16" s="203">
        <v>4517</v>
      </c>
      <c r="G16" s="203">
        <v>4517</v>
      </c>
      <c r="H16" s="203">
        <v>4517</v>
      </c>
      <c r="I16" s="203">
        <v>4517</v>
      </c>
      <c r="J16" s="203">
        <v>4517</v>
      </c>
      <c r="K16" s="158">
        <v>1</v>
      </c>
      <c r="L16" s="6"/>
      <c r="O16" s="68"/>
    </row>
    <row r="17" spans="1:12" ht="63" customHeight="1" x14ac:dyDescent="0.2">
      <c r="A17" s="60" t="s">
        <v>73</v>
      </c>
      <c r="B17" s="155" t="s">
        <v>317</v>
      </c>
      <c r="C17" s="138"/>
      <c r="D17" s="156" t="s">
        <v>136</v>
      </c>
      <c r="E17" s="198">
        <v>80</v>
      </c>
      <c r="F17" s="198">
        <v>80</v>
      </c>
      <c r="G17" s="198">
        <v>97</v>
      </c>
      <c r="H17" s="198">
        <v>99</v>
      </c>
      <c r="I17" s="198">
        <v>100</v>
      </c>
      <c r="J17" s="198">
        <v>101</v>
      </c>
      <c r="K17" s="158">
        <v>1</v>
      </c>
      <c r="L17" s="6"/>
    </row>
    <row r="18" spans="1:12" ht="42.75" customHeight="1" x14ac:dyDescent="0.2">
      <c r="A18" s="60" t="s">
        <v>74</v>
      </c>
      <c r="B18" s="124" t="s">
        <v>140</v>
      </c>
      <c r="C18" s="138" t="s">
        <v>312</v>
      </c>
      <c r="D18" s="156" t="s">
        <v>3</v>
      </c>
      <c r="E18" s="158">
        <v>1</v>
      </c>
      <c r="F18" s="158">
        <v>1</v>
      </c>
      <c r="G18" s="158">
        <v>1</v>
      </c>
      <c r="H18" s="158">
        <v>0</v>
      </c>
      <c r="I18" s="158">
        <v>0</v>
      </c>
      <c r="J18" s="158">
        <v>0</v>
      </c>
      <c r="K18" s="158">
        <v>2</v>
      </c>
      <c r="L18" s="6"/>
    </row>
    <row r="19" spans="1:12" ht="42.75" customHeight="1" x14ac:dyDescent="0.2">
      <c r="A19" s="60" t="s">
        <v>75</v>
      </c>
      <c r="B19" s="124" t="s">
        <v>313</v>
      </c>
      <c r="C19" s="138" t="s">
        <v>312</v>
      </c>
      <c r="D19" s="156" t="s">
        <v>3</v>
      </c>
      <c r="E19" s="158">
        <v>1</v>
      </c>
      <c r="F19" s="158" t="s">
        <v>311</v>
      </c>
      <c r="G19" s="158" t="s">
        <v>311</v>
      </c>
      <c r="H19" s="158" t="s">
        <v>311</v>
      </c>
      <c r="I19" s="158" t="s">
        <v>311</v>
      </c>
      <c r="J19" s="158" t="s">
        <v>311</v>
      </c>
      <c r="K19" s="158">
        <v>2</v>
      </c>
      <c r="L19" s="6"/>
    </row>
    <row r="20" spans="1:12" ht="42.75" customHeight="1" x14ac:dyDescent="0.2">
      <c r="A20" s="60" t="s">
        <v>108</v>
      </c>
      <c r="B20" s="124" t="s">
        <v>314</v>
      </c>
      <c r="C20" s="138" t="s">
        <v>312</v>
      </c>
      <c r="D20" s="156" t="s">
        <v>3</v>
      </c>
      <c r="E20" s="158">
        <v>1</v>
      </c>
      <c r="F20" s="158" t="s">
        <v>311</v>
      </c>
      <c r="G20" s="158" t="s">
        <v>311</v>
      </c>
      <c r="H20" s="158" t="s">
        <v>311</v>
      </c>
      <c r="I20" s="158" t="s">
        <v>311</v>
      </c>
      <c r="J20" s="158" t="s">
        <v>311</v>
      </c>
      <c r="K20" s="158">
        <v>2</v>
      </c>
      <c r="L20" s="6"/>
    </row>
    <row r="21" spans="1:12" ht="78.75" customHeight="1" x14ac:dyDescent="0.2">
      <c r="A21" s="60" t="s">
        <v>109</v>
      </c>
      <c r="B21" s="124" t="s">
        <v>361</v>
      </c>
      <c r="C21" s="138"/>
      <c r="D21" s="156" t="s">
        <v>136</v>
      </c>
      <c r="E21" s="158">
        <v>10.26</v>
      </c>
      <c r="F21" s="158">
        <v>12.04</v>
      </c>
      <c r="G21" s="158">
        <v>12.05</v>
      </c>
      <c r="H21" s="158">
        <v>12.05</v>
      </c>
      <c r="I21" s="158">
        <v>15.5</v>
      </c>
      <c r="J21" s="158">
        <v>16</v>
      </c>
      <c r="K21" s="158">
        <v>1</v>
      </c>
      <c r="L21" s="6"/>
    </row>
    <row r="22" spans="1:12" ht="90.75" customHeight="1" x14ac:dyDescent="0.2">
      <c r="A22" s="60" t="s">
        <v>142</v>
      </c>
      <c r="B22" s="124" t="s">
        <v>318</v>
      </c>
      <c r="C22" s="138"/>
      <c r="D22" s="156" t="s">
        <v>3</v>
      </c>
      <c r="E22" s="158">
        <v>1</v>
      </c>
      <c r="F22" s="158">
        <v>1</v>
      </c>
      <c r="G22" s="158">
        <v>1</v>
      </c>
      <c r="H22" s="158" t="s">
        <v>311</v>
      </c>
      <c r="I22" s="158" t="s">
        <v>311</v>
      </c>
      <c r="J22" s="158" t="s">
        <v>311</v>
      </c>
      <c r="K22" s="158">
        <v>2</v>
      </c>
      <c r="L22" s="6"/>
    </row>
    <row r="23" spans="1:12" ht="53.25" customHeight="1" x14ac:dyDescent="0.2">
      <c r="A23" s="60" t="s">
        <v>143</v>
      </c>
      <c r="B23" s="124" t="s">
        <v>310</v>
      </c>
      <c r="C23" s="138" t="s">
        <v>312</v>
      </c>
      <c r="D23" s="156" t="s">
        <v>136</v>
      </c>
      <c r="E23" s="158">
        <v>88.2</v>
      </c>
      <c r="F23" s="158" t="s">
        <v>311</v>
      </c>
      <c r="G23" s="158">
        <v>90</v>
      </c>
      <c r="H23" s="158">
        <v>91</v>
      </c>
      <c r="I23" s="158">
        <v>92</v>
      </c>
      <c r="J23" s="158">
        <v>93</v>
      </c>
      <c r="K23" s="158">
        <v>1</v>
      </c>
      <c r="L23" s="6"/>
    </row>
    <row r="24" spans="1:12" ht="66" customHeight="1" x14ac:dyDescent="0.2">
      <c r="A24" s="60" t="s">
        <v>144</v>
      </c>
      <c r="B24" s="124" t="s">
        <v>302</v>
      </c>
      <c r="C24" s="138"/>
      <c r="D24" s="156" t="s">
        <v>136</v>
      </c>
      <c r="E24" s="158">
        <v>0</v>
      </c>
      <c r="F24" s="158">
        <v>0</v>
      </c>
      <c r="G24" s="158">
        <v>0</v>
      </c>
      <c r="H24" s="158">
        <v>0</v>
      </c>
      <c r="I24" s="158">
        <v>0</v>
      </c>
      <c r="J24" s="158">
        <v>0</v>
      </c>
      <c r="K24" s="158">
        <v>1</v>
      </c>
      <c r="L24" s="6"/>
    </row>
    <row r="25" spans="1:12" ht="54.75" customHeight="1" x14ac:dyDescent="0.2">
      <c r="A25" s="60" t="s">
        <v>145</v>
      </c>
      <c r="B25" s="124" t="s">
        <v>322</v>
      </c>
      <c r="C25" s="138"/>
      <c r="D25" s="156" t="s">
        <v>136</v>
      </c>
      <c r="E25" s="158">
        <v>21.4</v>
      </c>
      <c r="F25" s="158" t="s">
        <v>311</v>
      </c>
      <c r="G25" s="158">
        <v>24</v>
      </c>
      <c r="H25" s="158">
        <v>25.5</v>
      </c>
      <c r="I25" s="158">
        <v>28.5</v>
      </c>
      <c r="J25" s="158">
        <v>33.5</v>
      </c>
      <c r="K25" s="158">
        <v>1</v>
      </c>
      <c r="L25" s="6"/>
    </row>
    <row r="26" spans="1:12" ht="61.5" customHeight="1" x14ac:dyDescent="0.2">
      <c r="A26" s="123" t="s">
        <v>146</v>
      </c>
      <c r="B26" s="124" t="s">
        <v>320</v>
      </c>
      <c r="C26" s="138" t="s">
        <v>312</v>
      </c>
      <c r="D26" s="156" t="s">
        <v>136</v>
      </c>
      <c r="E26" s="158">
        <v>6.1</v>
      </c>
      <c r="F26" s="158" t="s">
        <v>311</v>
      </c>
      <c r="G26" s="158">
        <v>11</v>
      </c>
      <c r="H26" s="158">
        <v>12.5</v>
      </c>
      <c r="I26" s="158">
        <v>14.5</v>
      </c>
      <c r="J26" s="158">
        <v>18.5</v>
      </c>
      <c r="K26" s="158">
        <v>1</v>
      </c>
      <c r="L26" s="6"/>
    </row>
    <row r="27" spans="1:12" ht="55.5" customHeight="1" x14ac:dyDescent="0.2">
      <c r="A27" s="60" t="s">
        <v>147</v>
      </c>
      <c r="B27" s="124" t="s">
        <v>321</v>
      </c>
      <c r="C27" s="138" t="s">
        <v>312</v>
      </c>
      <c r="D27" s="156" t="s">
        <v>136</v>
      </c>
      <c r="E27" s="199">
        <v>256.7</v>
      </c>
      <c r="F27" s="158">
        <v>259.31</v>
      </c>
      <c r="G27" s="158">
        <v>259.31</v>
      </c>
      <c r="H27" s="158">
        <v>259.31</v>
      </c>
      <c r="I27" s="158">
        <v>259.31</v>
      </c>
      <c r="J27" s="158">
        <v>259.31</v>
      </c>
      <c r="K27" s="158">
        <v>1</v>
      </c>
      <c r="L27" s="6"/>
    </row>
    <row r="28" spans="1:12" ht="71.25" customHeight="1" x14ac:dyDescent="0.2">
      <c r="A28" s="60" t="s">
        <v>213</v>
      </c>
      <c r="B28" s="124" t="s">
        <v>307</v>
      </c>
      <c r="C28" s="138"/>
      <c r="D28" s="156" t="s">
        <v>136</v>
      </c>
      <c r="E28" s="158">
        <v>45.36</v>
      </c>
      <c r="F28" s="158" t="s">
        <v>311</v>
      </c>
      <c r="G28" s="158">
        <v>50</v>
      </c>
      <c r="H28" s="158">
        <v>55</v>
      </c>
      <c r="I28" s="158">
        <v>60</v>
      </c>
      <c r="J28" s="158">
        <v>65</v>
      </c>
      <c r="K28" s="158">
        <v>1</v>
      </c>
      <c r="L28" s="6"/>
    </row>
    <row r="29" spans="1:12" ht="126.75" customHeight="1" x14ac:dyDescent="0.2">
      <c r="A29" s="60" t="s">
        <v>301</v>
      </c>
      <c r="B29" s="155" t="s">
        <v>137</v>
      </c>
      <c r="C29" s="138" t="s">
        <v>312</v>
      </c>
      <c r="D29" s="156" t="s">
        <v>136</v>
      </c>
      <c r="E29" s="200">
        <v>30</v>
      </c>
      <c r="F29" s="201">
        <v>55.58</v>
      </c>
      <c r="G29" s="158">
        <v>50</v>
      </c>
      <c r="H29" s="158">
        <v>55</v>
      </c>
      <c r="I29" s="158">
        <v>60</v>
      </c>
      <c r="J29" s="158">
        <v>61</v>
      </c>
      <c r="K29" s="158">
        <v>1</v>
      </c>
      <c r="L29" s="6"/>
    </row>
    <row r="30" spans="1:12" ht="117" customHeight="1" x14ac:dyDescent="0.2">
      <c r="A30" s="60" t="s">
        <v>305</v>
      </c>
      <c r="B30" s="155" t="s">
        <v>138</v>
      </c>
      <c r="C30" s="138"/>
      <c r="D30" s="156" t="s">
        <v>136</v>
      </c>
      <c r="E30" s="200">
        <v>50</v>
      </c>
      <c r="F30" s="158">
        <v>50</v>
      </c>
      <c r="G30" s="158">
        <v>50.3</v>
      </c>
      <c r="H30" s="158">
        <v>50.6</v>
      </c>
      <c r="I30" s="158">
        <v>50.9</v>
      </c>
      <c r="J30" s="158">
        <v>51.2</v>
      </c>
      <c r="K30" s="158">
        <v>1</v>
      </c>
      <c r="L30" s="6"/>
    </row>
    <row r="31" spans="1:12" ht="54.75" customHeight="1" x14ac:dyDescent="0.2">
      <c r="A31" s="60" t="s">
        <v>306</v>
      </c>
      <c r="B31" s="124" t="s">
        <v>319</v>
      </c>
      <c r="C31" s="138"/>
      <c r="D31" s="156" t="s">
        <v>3</v>
      </c>
      <c r="E31" s="158" t="s">
        <v>311</v>
      </c>
      <c r="F31" s="158" t="s">
        <v>311</v>
      </c>
      <c r="G31" s="158" t="s">
        <v>311</v>
      </c>
      <c r="H31" s="158" t="s">
        <v>311</v>
      </c>
      <c r="I31" s="158" t="s">
        <v>311</v>
      </c>
      <c r="J31" s="158" t="s">
        <v>311</v>
      </c>
      <c r="K31" s="158">
        <v>1</v>
      </c>
      <c r="L31" s="6"/>
    </row>
    <row r="32" spans="1:12" ht="54.75" customHeight="1" x14ac:dyDescent="0.2">
      <c r="A32" s="60" t="s">
        <v>347</v>
      </c>
      <c r="B32" s="124" t="s">
        <v>346</v>
      </c>
      <c r="C32" s="138"/>
      <c r="D32" s="156" t="s">
        <v>136</v>
      </c>
      <c r="E32" s="158" t="s">
        <v>311</v>
      </c>
      <c r="F32" s="158" t="s">
        <v>311</v>
      </c>
      <c r="G32" s="158">
        <v>47</v>
      </c>
      <c r="H32" s="158">
        <v>50</v>
      </c>
      <c r="I32" s="158">
        <v>52</v>
      </c>
      <c r="J32" s="158">
        <v>53</v>
      </c>
      <c r="K32" s="158">
        <v>1</v>
      </c>
      <c r="L32" s="6"/>
    </row>
    <row r="33" spans="1:12" ht="26.25" customHeight="1" x14ac:dyDescent="0.2">
      <c r="A33" s="282" t="s">
        <v>79</v>
      </c>
      <c r="B33" s="283"/>
      <c r="C33" s="283"/>
      <c r="D33" s="283"/>
      <c r="E33" s="283"/>
      <c r="F33" s="283"/>
      <c r="G33" s="283"/>
      <c r="H33" s="283"/>
      <c r="I33" s="283"/>
      <c r="J33" s="284"/>
      <c r="K33" s="65"/>
      <c r="L33" s="57"/>
    </row>
    <row r="34" spans="1:12" ht="91.5" customHeight="1" x14ac:dyDescent="0.2">
      <c r="A34" s="66" t="s">
        <v>32</v>
      </c>
      <c r="B34" s="124" t="s">
        <v>141</v>
      </c>
      <c r="C34" s="138"/>
      <c r="D34" s="136" t="s">
        <v>136</v>
      </c>
      <c r="E34" s="136">
        <v>100</v>
      </c>
      <c r="F34" s="136">
        <v>100</v>
      </c>
      <c r="G34" s="136">
        <v>100</v>
      </c>
      <c r="H34" s="136">
        <v>100</v>
      </c>
      <c r="I34" s="136">
        <v>100</v>
      </c>
      <c r="J34" s="136">
        <v>100</v>
      </c>
      <c r="K34" s="137">
        <v>1</v>
      </c>
      <c r="L34" s="57"/>
    </row>
    <row r="35" spans="1:12" ht="90.75" customHeight="1" x14ac:dyDescent="0.2">
      <c r="A35" s="66" t="s">
        <v>33</v>
      </c>
      <c r="B35" s="115" t="s">
        <v>308</v>
      </c>
      <c r="C35" s="111" t="s">
        <v>312</v>
      </c>
      <c r="D35" s="111" t="s">
        <v>136</v>
      </c>
      <c r="E35" s="111">
        <v>72.5</v>
      </c>
      <c r="F35" s="111">
        <v>100</v>
      </c>
      <c r="G35" s="111">
        <v>100</v>
      </c>
      <c r="H35" s="111">
        <v>100</v>
      </c>
      <c r="I35" s="111">
        <v>100</v>
      </c>
      <c r="J35" s="111">
        <v>100</v>
      </c>
      <c r="K35" s="114">
        <v>1</v>
      </c>
      <c r="L35" s="6"/>
    </row>
  </sheetData>
  <mergeCells count="15">
    <mergeCell ref="A33:J33"/>
    <mergeCell ref="A1:K1"/>
    <mergeCell ref="A2:K2"/>
    <mergeCell ref="A3:K3"/>
    <mergeCell ref="A5:K5"/>
    <mergeCell ref="A6:K6"/>
    <mergeCell ref="A8:A9"/>
    <mergeCell ref="E8:E9"/>
    <mergeCell ref="F8:J8"/>
    <mergeCell ref="B8:B9"/>
    <mergeCell ref="C8:C9"/>
    <mergeCell ref="D8:D9"/>
    <mergeCell ref="A11:K11"/>
    <mergeCell ref="K8:K9"/>
    <mergeCell ref="A15:A16"/>
  </mergeCells>
  <pageMargins left="0.51181102362204722" right="0.51181102362204722" top="0.74803149606299213" bottom="0.74803149606299213" header="0.31496062992125984" footer="0.31496062992125984"/>
  <pageSetup paperSize="9" scale="78" fitToHeight="0" orientation="landscape" r:id="rId1"/>
  <rowBreaks count="2" manualBreakCount="2">
    <brk id="17" max="10" man="1"/>
    <brk id="2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31"/>
  <sheetViews>
    <sheetView view="pageBreakPreview" zoomScaleNormal="100" zoomScaleSheetLayoutView="100" workbookViewId="0">
      <selection activeCell="C11" sqref="C11:F11"/>
    </sheetView>
  </sheetViews>
  <sheetFormatPr defaultRowHeight="14.25" x14ac:dyDescent="0.2"/>
  <cols>
    <col min="1" max="1" width="6.5703125" style="135" customWidth="1"/>
    <col min="2" max="2" width="48.85546875" style="11" customWidth="1"/>
    <col min="3" max="5" width="9.140625" style="11"/>
    <col min="6" max="6" width="54.28515625" style="11" customWidth="1"/>
    <col min="7" max="7" width="14.7109375" style="11" customWidth="1"/>
    <col min="8" max="8" width="13.5703125" style="126" customWidth="1"/>
    <col min="9" max="16384" width="9.140625" style="11"/>
  </cols>
  <sheetData>
    <row r="1" spans="1:11" x14ac:dyDescent="0.2">
      <c r="A1" s="252" t="s">
        <v>18</v>
      </c>
      <c r="B1" s="252"/>
      <c r="C1" s="252"/>
      <c r="D1" s="252"/>
      <c r="E1" s="252"/>
      <c r="F1" s="252"/>
      <c r="G1" s="252"/>
      <c r="H1" s="252"/>
    </row>
    <row r="2" spans="1:11" x14ac:dyDescent="0.2">
      <c r="A2" s="252" t="s">
        <v>114</v>
      </c>
      <c r="B2" s="252"/>
      <c r="C2" s="252"/>
      <c r="D2" s="252"/>
      <c r="E2" s="252"/>
      <c r="F2" s="252"/>
      <c r="G2" s="252"/>
      <c r="H2" s="252"/>
    </row>
    <row r="3" spans="1:11" ht="15" x14ac:dyDescent="0.2">
      <c r="A3" s="252" t="s">
        <v>338</v>
      </c>
      <c r="B3" s="252"/>
      <c r="C3" s="252"/>
      <c r="D3" s="252"/>
      <c r="E3" s="252"/>
      <c r="F3" s="252"/>
      <c r="G3" s="252"/>
      <c r="H3" s="252"/>
    </row>
    <row r="4" spans="1:11" ht="15" x14ac:dyDescent="0.2">
      <c r="A4" s="125"/>
    </row>
    <row r="5" spans="1:11" x14ac:dyDescent="0.2">
      <c r="A5" s="273" t="s">
        <v>47</v>
      </c>
      <c r="B5" s="273"/>
      <c r="C5" s="273"/>
      <c r="D5" s="273"/>
      <c r="E5" s="273"/>
      <c r="F5" s="273"/>
      <c r="G5" s="273"/>
      <c r="H5" s="273"/>
    </row>
    <row r="6" spans="1:11" ht="40.5" customHeight="1" x14ac:dyDescent="0.2">
      <c r="A6" s="299" t="s">
        <v>339</v>
      </c>
      <c r="B6" s="299"/>
      <c r="C6" s="299"/>
      <c r="D6" s="299"/>
      <c r="E6" s="299"/>
      <c r="F6" s="299"/>
      <c r="G6" s="299"/>
      <c r="H6" s="299"/>
    </row>
    <row r="7" spans="1:11" ht="38.25" x14ac:dyDescent="0.2">
      <c r="A7" s="120" t="s">
        <v>48</v>
      </c>
      <c r="B7" s="127" t="s">
        <v>49</v>
      </c>
      <c r="C7" s="294" t="s">
        <v>50</v>
      </c>
      <c r="D7" s="294"/>
      <c r="E7" s="294"/>
      <c r="F7" s="294"/>
      <c r="G7" s="127" t="s">
        <v>1</v>
      </c>
      <c r="H7" s="128" t="s">
        <v>51</v>
      </c>
    </row>
    <row r="8" spans="1:11" ht="23.25" customHeight="1" x14ac:dyDescent="0.2">
      <c r="A8" s="292" t="s">
        <v>56</v>
      </c>
      <c r="B8" s="293"/>
      <c r="C8" s="293"/>
      <c r="D8" s="293"/>
      <c r="E8" s="293"/>
      <c r="F8" s="293"/>
      <c r="G8" s="293"/>
      <c r="H8" s="293"/>
    </row>
    <row r="9" spans="1:11" ht="66" customHeight="1" x14ac:dyDescent="0.2">
      <c r="A9" s="123" t="s">
        <v>32</v>
      </c>
      <c r="B9" s="129" t="s">
        <v>148</v>
      </c>
      <c r="C9" s="295" t="s">
        <v>323</v>
      </c>
      <c r="D9" s="295"/>
      <c r="E9" s="295"/>
      <c r="F9" s="295"/>
      <c r="G9" s="120" t="s">
        <v>151</v>
      </c>
      <c r="H9" s="122">
        <f>'Прил 5 Планируемые результаты'!E12</f>
        <v>38.5</v>
      </c>
    </row>
    <row r="10" spans="1:11" ht="67.5" customHeight="1" x14ac:dyDescent="0.2">
      <c r="A10" s="123" t="s">
        <v>33</v>
      </c>
      <c r="B10" s="119" t="s">
        <v>315</v>
      </c>
      <c r="C10" s="295" t="s">
        <v>324</v>
      </c>
      <c r="D10" s="295"/>
      <c r="E10" s="295"/>
      <c r="F10" s="295"/>
      <c r="G10" s="120" t="s">
        <v>151</v>
      </c>
      <c r="H10" s="122">
        <f>'Прил 5 Планируемые результаты'!E13</f>
        <v>77</v>
      </c>
    </row>
    <row r="11" spans="1:11" ht="104.25" customHeight="1" x14ac:dyDescent="0.2">
      <c r="A11" s="123" t="s">
        <v>34</v>
      </c>
      <c r="B11" s="119" t="s">
        <v>316</v>
      </c>
      <c r="C11" s="295" t="s">
        <v>150</v>
      </c>
      <c r="D11" s="295"/>
      <c r="E11" s="295"/>
      <c r="F11" s="295"/>
      <c r="G11" s="120" t="s">
        <v>151</v>
      </c>
      <c r="H11" s="122">
        <f>'Прил 5 Планируемые результаты'!E14</f>
        <v>21</v>
      </c>
    </row>
    <row r="12" spans="1:11" ht="56.25" customHeight="1" x14ac:dyDescent="0.2">
      <c r="A12" s="123" t="s">
        <v>72</v>
      </c>
      <c r="B12" s="130" t="s">
        <v>139</v>
      </c>
      <c r="C12" s="295" t="s">
        <v>325</v>
      </c>
      <c r="D12" s="295"/>
      <c r="E12" s="295"/>
      <c r="F12" s="295"/>
      <c r="G12" s="120" t="s">
        <v>152</v>
      </c>
      <c r="H12" s="220">
        <f>'Прил 5 Планируемые результаты'!E15</f>
        <v>71.88</v>
      </c>
      <c r="K12" s="131"/>
    </row>
    <row r="13" spans="1:11" ht="57.75" customHeight="1" x14ac:dyDescent="0.2">
      <c r="A13" s="123" t="s">
        <v>73</v>
      </c>
      <c r="B13" s="119" t="s">
        <v>317</v>
      </c>
      <c r="C13" s="295" t="s">
        <v>326</v>
      </c>
      <c r="D13" s="295"/>
      <c r="E13" s="295"/>
      <c r="F13" s="295"/>
      <c r="G13" s="120" t="s">
        <v>151</v>
      </c>
      <c r="H13" s="122">
        <f>'Прил 5 Планируемые результаты'!E17</f>
        <v>80</v>
      </c>
    </row>
    <row r="14" spans="1:11" ht="133.5" customHeight="1" x14ac:dyDescent="0.2">
      <c r="A14" s="123" t="s">
        <v>74</v>
      </c>
      <c r="B14" s="124" t="s">
        <v>140</v>
      </c>
      <c r="C14" s="295" t="s">
        <v>327</v>
      </c>
      <c r="D14" s="295"/>
      <c r="E14" s="295"/>
      <c r="F14" s="295"/>
      <c r="G14" s="120" t="s">
        <v>330</v>
      </c>
      <c r="H14" s="132">
        <v>1</v>
      </c>
    </row>
    <row r="15" spans="1:11" ht="33" customHeight="1" x14ac:dyDescent="0.2">
      <c r="A15" s="123" t="s">
        <v>75</v>
      </c>
      <c r="B15" s="124" t="s">
        <v>313</v>
      </c>
      <c r="C15" s="296" t="s">
        <v>328</v>
      </c>
      <c r="D15" s="297"/>
      <c r="E15" s="297"/>
      <c r="F15" s="298"/>
      <c r="G15" s="120" t="s">
        <v>330</v>
      </c>
      <c r="H15" s="132" t="s">
        <v>311</v>
      </c>
    </row>
    <row r="16" spans="1:11" ht="41.25" customHeight="1" x14ac:dyDescent="0.2">
      <c r="A16" s="123" t="s">
        <v>108</v>
      </c>
      <c r="B16" s="119" t="s">
        <v>314</v>
      </c>
      <c r="C16" s="295" t="s">
        <v>329</v>
      </c>
      <c r="D16" s="295"/>
      <c r="E16" s="295"/>
      <c r="F16" s="295"/>
      <c r="G16" s="120" t="s">
        <v>330</v>
      </c>
      <c r="H16" s="132" t="s">
        <v>311</v>
      </c>
    </row>
    <row r="17" spans="1:8" ht="165" customHeight="1" x14ac:dyDescent="0.2">
      <c r="A17" s="123" t="s">
        <v>109</v>
      </c>
      <c r="B17" s="124" t="s">
        <v>361</v>
      </c>
      <c r="C17" s="295" t="s">
        <v>374</v>
      </c>
      <c r="D17" s="295"/>
      <c r="E17" s="295"/>
      <c r="F17" s="295"/>
      <c r="G17" s="120" t="s">
        <v>151</v>
      </c>
      <c r="H17" s="188">
        <f>'Прил 5 Планируемые результаты'!E21</f>
        <v>10.26</v>
      </c>
    </row>
    <row r="18" spans="1:8" ht="157.5" customHeight="1" x14ac:dyDescent="0.2">
      <c r="A18" s="123" t="s">
        <v>142</v>
      </c>
      <c r="B18" s="124" t="s">
        <v>318</v>
      </c>
      <c r="C18" s="296" t="s">
        <v>349</v>
      </c>
      <c r="D18" s="297"/>
      <c r="E18" s="297"/>
      <c r="F18" s="298"/>
      <c r="G18" s="120" t="s">
        <v>3</v>
      </c>
      <c r="H18" s="122">
        <v>1</v>
      </c>
    </row>
    <row r="19" spans="1:8" ht="84" customHeight="1" x14ac:dyDescent="0.2">
      <c r="A19" s="123" t="s">
        <v>143</v>
      </c>
      <c r="B19" s="124" t="s">
        <v>331</v>
      </c>
      <c r="C19" s="296" t="s">
        <v>332</v>
      </c>
      <c r="D19" s="297"/>
      <c r="E19" s="297"/>
      <c r="F19" s="298"/>
      <c r="G19" s="120" t="s">
        <v>151</v>
      </c>
      <c r="H19" s="122">
        <f>'Прил 5 Планируемые результаты'!E23</f>
        <v>88.2</v>
      </c>
    </row>
    <row r="20" spans="1:8" ht="66.75" customHeight="1" x14ac:dyDescent="0.2">
      <c r="A20" s="123" t="s">
        <v>144</v>
      </c>
      <c r="B20" s="124" t="s">
        <v>303</v>
      </c>
      <c r="C20" s="295" t="s">
        <v>304</v>
      </c>
      <c r="D20" s="295"/>
      <c r="E20" s="295"/>
      <c r="F20" s="295"/>
      <c r="G20" s="120" t="s">
        <v>151</v>
      </c>
      <c r="H20" s="122" t="s">
        <v>311</v>
      </c>
    </row>
    <row r="21" spans="1:8" ht="90.75" customHeight="1" x14ac:dyDescent="0.2">
      <c r="A21" s="123" t="s">
        <v>145</v>
      </c>
      <c r="B21" s="124" t="s">
        <v>322</v>
      </c>
      <c r="C21" s="296" t="s">
        <v>333</v>
      </c>
      <c r="D21" s="297"/>
      <c r="E21" s="297"/>
      <c r="F21" s="298"/>
      <c r="G21" s="120" t="s">
        <v>151</v>
      </c>
      <c r="H21" s="122">
        <f>'Прил 5 Планируемые результаты'!E25</f>
        <v>21.4</v>
      </c>
    </row>
    <row r="22" spans="1:8" ht="81" customHeight="1" x14ac:dyDescent="0.2">
      <c r="A22" s="123" t="s">
        <v>146</v>
      </c>
      <c r="B22" s="124" t="s">
        <v>320</v>
      </c>
      <c r="C22" s="296" t="s">
        <v>334</v>
      </c>
      <c r="D22" s="297"/>
      <c r="E22" s="297"/>
      <c r="F22" s="298"/>
      <c r="G22" s="120" t="s">
        <v>151</v>
      </c>
      <c r="H22" s="122">
        <f>'Прил 5 Планируемые результаты'!E26</f>
        <v>6.1</v>
      </c>
    </row>
    <row r="23" spans="1:8" ht="93.75" customHeight="1" x14ac:dyDescent="0.2">
      <c r="A23" s="123" t="s">
        <v>147</v>
      </c>
      <c r="B23" s="124" t="s">
        <v>321</v>
      </c>
      <c r="C23" s="296" t="s">
        <v>335</v>
      </c>
      <c r="D23" s="297"/>
      <c r="E23" s="297"/>
      <c r="F23" s="298"/>
      <c r="G23" s="120" t="s">
        <v>151</v>
      </c>
      <c r="H23" s="199">
        <v>256.7</v>
      </c>
    </row>
    <row r="24" spans="1:8" ht="54" customHeight="1" x14ac:dyDescent="0.2">
      <c r="A24" s="123" t="s">
        <v>213</v>
      </c>
      <c r="B24" s="124" t="s">
        <v>307</v>
      </c>
      <c r="C24" s="296" t="s">
        <v>336</v>
      </c>
      <c r="D24" s="297"/>
      <c r="E24" s="297"/>
      <c r="F24" s="298"/>
      <c r="G24" s="120" t="s">
        <v>151</v>
      </c>
      <c r="H24" s="122">
        <f>'Прил 5 Планируемые результаты'!E28</f>
        <v>45.36</v>
      </c>
    </row>
    <row r="25" spans="1:8" ht="89.25" customHeight="1" x14ac:dyDescent="0.2">
      <c r="A25" s="123" t="s">
        <v>301</v>
      </c>
      <c r="B25" s="119" t="s">
        <v>137</v>
      </c>
      <c r="C25" s="295" t="s">
        <v>337</v>
      </c>
      <c r="D25" s="295"/>
      <c r="E25" s="295"/>
      <c r="F25" s="295"/>
      <c r="G25" s="120" t="s">
        <v>151</v>
      </c>
      <c r="H25" s="133">
        <f>'Прил 5 Планируемые результаты'!E29</f>
        <v>30</v>
      </c>
    </row>
    <row r="26" spans="1:8" ht="101.25" customHeight="1" x14ac:dyDescent="0.2">
      <c r="A26" s="123" t="s">
        <v>305</v>
      </c>
      <c r="B26" s="119" t="s">
        <v>138</v>
      </c>
      <c r="C26" s="295" t="s">
        <v>324</v>
      </c>
      <c r="D26" s="295"/>
      <c r="E26" s="295"/>
      <c r="F26" s="295"/>
      <c r="G26" s="120" t="s">
        <v>151</v>
      </c>
      <c r="H26" s="122">
        <f>'Прил 5 Планируемые результаты'!E30</f>
        <v>50</v>
      </c>
    </row>
    <row r="27" spans="1:8" ht="122.25" customHeight="1" x14ac:dyDescent="0.2">
      <c r="A27" s="123" t="s">
        <v>306</v>
      </c>
      <c r="B27" s="105" t="s">
        <v>319</v>
      </c>
      <c r="C27" s="295" t="s">
        <v>350</v>
      </c>
      <c r="D27" s="295"/>
      <c r="E27" s="295"/>
      <c r="F27" s="295"/>
      <c r="G27" s="136" t="s">
        <v>330</v>
      </c>
      <c r="H27" s="132" t="s">
        <v>311</v>
      </c>
    </row>
    <row r="28" spans="1:8" ht="67.5" customHeight="1" x14ac:dyDescent="0.2">
      <c r="A28" s="123" t="s">
        <v>347</v>
      </c>
      <c r="B28" s="105" t="s">
        <v>346</v>
      </c>
      <c r="C28" s="295" t="s">
        <v>348</v>
      </c>
      <c r="D28" s="295"/>
      <c r="E28" s="295"/>
      <c r="F28" s="295"/>
      <c r="G28" s="136" t="s">
        <v>151</v>
      </c>
      <c r="H28" s="132" t="s">
        <v>311</v>
      </c>
    </row>
    <row r="29" spans="1:8" ht="26.25" customHeight="1" x14ac:dyDescent="0.2">
      <c r="A29" s="300" t="s">
        <v>79</v>
      </c>
      <c r="B29" s="301"/>
      <c r="C29" s="301"/>
      <c r="D29" s="301"/>
      <c r="E29" s="301"/>
      <c r="F29" s="301"/>
      <c r="G29" s="301"/>
      <c r="H29" s="301"/>
    </row>
    <row r="30" spans="1:8" ht="158.25" customHeight="1" x14ac:dyDescent="0.2">
      <c r="A30" s="134" t="s">
        <v>32</v>
      </c>
      <c r="B30" s="119" t="s">
        <v>141</v>
      </c>
      <c r="C30" s="296" t="s">
        <v>352</v>
      </c>
      <c r="D30" s="297"/>
      <c r="E30" s="297"/>
      <c r="F30" s="298"/>
      <c r="G30" s="120" t="s">
        <v>151</v>
      </c>
      <c r="H30" s="132">
        <f>'Прил 5 Планируемые результаты'!E34</f>
        <v>100</v>
      </c>
    </row>
    <row r="31" spans="1:8" ht="85.5" customHeight="1" x14ac:dyDescent="0.2">
      <c r="A31" s="134" t="s">
        <v>33</v>
      </c>
      <c r="B31" s="119" t="s">
        <v>308</v>
      </c>
      <c r="C31" s="302" t="s">
        <v>351</v>
      </c>
      <c r="D31" s="303"/>
      <c r="E31" s="303"/>
      <c r="F31" s="304"/>
      <c r="G31" s="120" t="s">
        <v>151</v>
      </c>
      <c r="H31" s="132">
        <v>100</v>
      </c>
    </row>
  </sheetData>
  <mergeCells count="30">
    <mergeCell ref="A29:H29"/>
    <mergeCell ref="C17:F17"/>
    <mergeCell ref="C30:F30"/>
    <mergeCell ref="C31:F31"/>
    <mergeCell ref="C20:F20"/>
    <mergeCell ref="C18:F18"/>
    <mergeCell ref="C19:F19"/>
    <mergeCell ref="C21:F21"/>
    <mergeCell ref="C22:F22"/>
    <mergeCell ref="C23:F23"/>
    <mergeCell ref="C24:F24"/>
    <mergeCell ref="C26:F26"/>
    <mergeCell ref="C27:F27"/>
    <mergeCell ref="C28:F28"/>
    <mergeCell ref="A1:H1"/>
    <mergeCell ref="A2:H2"/>
    <mergeCell ref="A3:H3"/>
    <mergeCell ref="A5:H5"/>
    <mergeCell ref="A6:H6"/>
    <mergeCell ref="A8:H8"/>
    <mergeCell ref="C7:F7"/>
    <mergeCell ref="C9:F9"/>
    <mergeCell ref="C25:F25"/>
    <mergeCell ref="C12:F12"/>
    <mergeCell ref="C15:F15"/>
    <mergeCell ref="C14:F14"/>
    <mergeCell ref="C10:F10"/>
    <mergeCell ref="C11:F11"/>
    <mergeCell ref="C16:F16"/>
    <mergeCell ref="C13:F13"/>
  </mergeCells>
  <pageMargins left="0.7" right="0.7" top="0.75" bottom="0.75" header="0.3" footer="0.3"/>
  <pageSetup paperSize="9" scale="79" fitToHeight="0" orientation="landscape" r:id="rId1"/>
  <rowBreaks count="3" manualBreakCount="3">
    <brk id="13" max="16383" man="1"/>
    <brk id="19" max="7" man="1"/>
    <brk id="2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35"/>
  <sheetViews>
    <sheetView tabSelected="1" view="pageBreakPreview" zoomScale="85" zoomScaleNormal="60" zoomScaleSheetLayoutView="85" workbookViewId="0">
      <pane ySplit="9" topLeftCell="A52" activePane="bottomLeft" state="frozen"/>
      <selection pane="bottomLeft" activeCell="M57" sqref="M57:M59"/>
    </sheetView>
  </sheetViews>
  <sheetFormatPr defaultRowHeight="15" x14ac:dyDescent="0.25"/>
  <cols>
    <col min="1" max="1" width="6.28515625" style="36" customWidth="1"/>
    <col min="2" max="2" width="27.140625" style="3" customWidth="1"/>
    <col min="3" max="3" width="13.5703125" style="3" customWidth="1"/>
    <col min="4" max="4" width="17.85546875" style="3" customWidth="1"/>
    <col min="5" max="5" width="14.140625" style="18" customWidth="1"/>
    <col min="6" max="6" width="13.42578125" style="18" bestFit="1" customWidth="1"/>
    <col min="7" max="7" width="14.7109375" style="18" bestFit="1" customWidth="1"/>
    <col min="8" max="8" width="13.42578125" style="192" bestFit="1" customWidth="1"/>
    <col min="9" max="9" width="16" style="192" bestFit="1" customWidth="1"/>
    <col min="10" max="10" width="14.7109375" style="192" bestFit="1" customWidth="1"/>
    <col min="11" max="11" width="13.7109375" style="18" customWidth="1"/>
    <col min="12" max="12" width="20.42578125" style="3" customWidth="1"/>
    <col min="13" max="13" width="19.140625" style="3" customWidth="1"/>
    <col min="14" max="15" width="9.140625" style="3"/>
    <col min="16" max="16" width="9.85546875" style="3" bestFit="1" customWidth="1"/>
    <col min="17" max="17" width="15" style="3" bestFit="1" customWidth="1"/>
    <col min="18" max="16384" width="9.140625" style="3"/>
  </cols>
  <sheetData>
    <row r="1" spans="1:17" ht="14.25" x14ac:dyDescent="0.2">
      <c r="A1" s="251" t="s">
        <v>60</v>
      </c>
      <c r="B1" s="251"/>
      <c r="C1" s="251"/>
      <c r="D1" s="251"/>
      <c r="E1" s="251"/>
      <c r="F1" s="251"/>
      <c r="G1" s="251"/>
      <c r="H1" s="251"/>
      <c r="I1" s="251"/>
      <c r="J1" s="251"/>
      <c r="K1" s="251"/>
      <c r="L1" s="251"/>
      <c r="M1" s="251"/>
    </row>
    <row r="2" spans="1:17" ht="14.25" x14ac:dyDescent="0.2">
      <c r="A2" s="252" t="s">
        <v>114</v>
      </c>
      <c r="B2" s="252"/>
      <c r="C2" s="252"/>
      <c r="D2" s="252"/>
      <c r="E2" s="252"/>
      <c r="F2" s="252"/>
      <c r="G2" s="252"/>
      <c r="H2" s="252"/>
      <c r="I2" s="252"/>
      <c r="J2" s="252"/>
      <c r="K2" s="252"/>
      <c r="L2" s="252"/>
      <c r="M2" s="252"/>
    </row>
    <row r="3" spans="1:17" x14ac:dyDescent="0.2">
      <c r="A3" s="251" t="s">
        <v>128</v>
      </c>
      <c r="B3" s="251"/>
      <c r="C3" s="251"/>
      <c r="D3" s="251"/>
      <c r="E3" s="251"/>
      <c r="F3" s="251"/>
      <c r="G3" s="251"/>
      <c r="H3" s="251"/>
      <c r="I3" s="251"/>
      <c r="J3" s="251"/>
      <c r="K3" s="251"/>
      <c r="L3" s="251"/>
      <c r="M3" s="251"/>
    </row>
    <row r="4" spans="1:17" ht="14.25" x14ac:dyDescent="0.2">
      <c r="A4" s="4"/>
      <c r="B4" s="9"/>
      <c r="C4" s="58"/>
      <c r="D4" s="9"/>
      <c r="E4" s="79"/>
      <c r="F4" s="79"/>
      <c r="G4" s="79"/>
      <c r="H4" s="191"/>
      <c r="I4" s="191"/>
      <c r="J4" s="191"/>
      <c r="K4" s="79"/>
      <c r="L4" s="9"/>
      <c r="M4" s="9"/>
    </row>
    <row r="5" spans="1:17" ht="15.75" x14ac:dyDescent="0.2">
      <c r="A5" s="358" t="s">
        <v>83</v>
      </c>
      <c r="B5" s="358"/>
      <c r="C5" s="358"/>
      <c r="D5" s="358"/>
      <c r="E5" s="358"/>
      <c r="F5" s="358"/>
      <c r="G5" s="358"/>
      <c r="H5" s="358"/>
      <c r="I5" s="358"/>
      <c r="J5" s="358"/>
      <c r="K5" s="358"/>
      <c r="L5" s="358"/>
      <c r="M5" s="358"/>
    </row>
    <row r="6" spans="1:17" ht="15.75" x14ac:dyDescent="0.2">
      <c r="A6" s="358" t="s">
        <v>118</v>
      </c>
      <c r="B6" s="358"/>
      <c r="C6" s="358"/>
      <c r="D6" s="358"/>
      <c r="E6" s="358"/>
      <c r="F6" s="358"/>
      <c r="G6" s="358"/>
      <c r="H6" s="358"/>
      <c r="I6" s="358"/>
      <c r="J6" s="358"/>
      <c r="K6" s="358"/>
      <c r="L6" s="358"/>
      <c r="M6" s="358"/>
    </row>
    <row r="7" spans="1:17" ht="14.25" x14ac:dyDescent="0.2">
      <c r="A7" s="4"/>
    </row>
    <row r="8" spans="1:17" ht="70.5" customHeight="1" x14ac:dyDescent="0.2">
      <c r="A8" s="359" t="s">
        <v>44</v>
      </c>
      <c r="B8" s="359" t="s">
        <v>38</v>
      </c>
      <c r="C8" s="359" t="s">
        <v>40</v>
      </c>
      <c r="D8" s="359" t="s">
        <v>39</v>
      </c>
      <c r="E8" s="360" t="s">
        <v>343</v>
      </c>
      <c r="F8" s="360" t="s">
        <v>41</v>
      </c>
      <c r="G8" s="360" t="s">
        <v>371</v>
      </c>
      <c r="H8" s="360"/>
      <c r="I8" s="360"/>
      <c r="J8" s="360"/>
      <c r="K8" s="360"/>
      <c r="L8" s="359" t="s">
        <v>42</v>
      </c>
      <c r="M8" s="359" t="s">
        <v>43</v>
      </c>
    </row>
    <row r="9" spans="1:17" ht="66.75" customHeight="1" x14ac:dyDescent="0.2">
      <c r="A9" s="359"/>
      <c r="B9" s="359"/>
      <c r="C9" s="359"/>
      <c r="D9" s="359"/>
      <c r="E9" s="360"/>
      <c r="F9" s="360"/>
      <c r="G9" s="19" t="s">
        <v>4</v>
      </c>
      <c r="H9" s="193" t="s">
        <v>52</v>
      </c>
      <c r="I9" s="193" t="s">
        <v>100</v>
      </c>
      <c r="J9" s="193" t="s">
        <v>95</v>
      </c>
      <c r="K9" s="19" t="s">
        <v>96</v>
      </c>
      <c r="L9" s="359"/>
      <c r="M9" s="359"/>
    </row>
    <row r="10" spans="1:17" ht="15" customHeight="1" x14ac:dyDescent="0.2">
      <c r="A10" s="10">
        <v>1</v>
      </c>
      <c r="B10" s="10">
        <v>2</v>
      </c>
      <c r="C10" s="148">
        <v>3</v>
      </c>
      <c r="D10" s="148">
        <v>4</v>
      </c>
      <c r="E10" s="148">
        <v>5</v>
      </c>
      <c r="F10" s="148">
        <v>6</v>
      </c>
      <c r="G10" s="148">
        <v>7</v>
      </c>
      <c r="H10" s="227">
        <v>8</v>
      </c>
      <c r="I10" s="161">
        <v>9</v>
      </c>
      <c r="J10" s="161">
        <v>10</v>
      </c>
      <c r="K10" s="148">
        <v>11</v>
      </c>
      <c r="L10" s="148">
        <v>12</v>
      </c>
      <c r="M10" s="148">
        <v>13</v>
      </c>
    </row>
    <row r="11" spans="1:17" ht="16.5" x14ac:dyDescent="0.2">
      <c r="A11" s="355" t="s">
        <v>61</v>
      </c>
      <c r="B11" s="355"/>
      <c r="C11" s="355"/>
      <c r="D11" s="355"/>
      <c r="E11" s="355"/>
      <c r="F11" s="355"/>
      <c r="G11" s="355"/>
      <c r="H11" s="355"/>
      <c r="I11" s="355"/>
      <c r="J11" s="355"/>
      <c r="K11" s="355"/>
      <c r="L11" s="355"/>
      <c r="M11" s="355"/>
    </row>
    <row r="12" spans="1:17" ht="17.25" customHeight="1" x14ac:dyDescent="0.2">
      <c r="A12" s="327" t="s">
        <v>59</v>
      </c>
      <c r="B12" s="362" t="s">
        <v>153</v>
      </c>
      <c r="C12" s="363"/>
      <c r="D12" s="21" t="s">
        <v>31</v>
      </c>
      <c r="E12" s="109">
        <f>E13</f>
        <v>62034.64841999999</v>
      </c>
      <c r="F12" s="109">
        <f>F13</f>
        <v>311045.48613999999</v>
      </c>
      <c r="G12" s="109">
        <f>G13</f>
        <v>62034.64841999999</v>
      </c>
      <c r="H12" s="194">
        <f>H13</f>
        <v>57621.337719999989</v>
      </c>
      <c r="I12" s="109">
        <f t="shared" ref="I12:K12" si="0">I13</f>
        <v>63718.299999999996</v>
      </c>
      <c r="J12" s="109">
        <f t="shared" si="0"/>
        <v>63835.6</v>
      </c>
      <c r="K12" s="109">
        <f t="shared" si="0"/>
        <v>63835.6</v>
      </c>
      <c r="L12" s="324" t="s">
        <v>156</v>
      </c>
      <c r="M12" s="356"/>
    </row>
    <row r="13" spans="1:17" s="87" customFormat="1" ht="53.25" customHeight="1" x14ac:dyDescent="0.2">
      <c r="A13" s="327"/>
      <c r="B13" s="364"/>
      <c r="C13" s="365"/>
      <c r="D13" s="88" t="s">
        <v>85</v>
      </c>
      <c r="E13" s="163">
        <f>G13</f>
        <v>62034.64841999999</v>
      </c>
      <c r="F13" s="163">
        <f>SUM(G13:K13)</f>
        <v>311045.48613999999</v>
      </c>
      <c r="G13" s="163">
        <f>G15+G17+G19+G21+G23+G25+G27+G29+G31+G33+G35+G37+G39+G41</f>
        <v>62034.64841999999</v>
      </c>
      <c r="H13" s="228">
        <f>H14+H16+H18+H20+H22+H24+H26+H28+H30+H32+H34+H40+H36+H38+H42</f>
        <v>57621.337719999989</v>
      </c>
      <c r="I13" s="173">
        <f t="shared" ref="I13:K13" si="1">I14+I16+I18+I20+I22+I24+I26+I28+I30+I32+I34+I40+I36+I38+I42</f>
        <v>63718.299999999996</v>
      </c>
      <c r="J13" s="173">
        <f t="shared" si="1"/>
        <v>63835.6</v>
      </c>
      <c r="K13" s="163">
        <f t="shared" si="1"/>
        <v>63835.6</v>
      </c>
      <c r="L13" s="325"/>
      <c r="M13" s="357"/>
      <c r="O13" s="92"/>
      <c r="Q13" s="92">
        <f>63322.6-H13</f>
        <v>5701.2622800000099</v>
      </c>
    </row>
    <row r="14" spans="1:17" s="87" customFormat="1" ht="15.75" customHeight="1" x14ac:dyDescent="0.2">
      <c r="A14" s="318" t="s">
        <v>32</v>
      </c>
      <c r="B14" s="319" t="s">
        <v>384</v>
      </c>
      <c r="C14" s="311" t="s">
        <v>104</v>
      </c>
      <c r="D14" s="90" t="s">
        <v>31</v>
      </c>
      <c r="E14" s="164">
        <f t="shared" ref="E14:J14" si="2">E15</f>
        <v>2387.65427</v>
      </c>
      <c r="F14" s="164">
        <f t="shared" si="2"/>
        <v>12340.85427</v>
      </c>
      <c r="G14" s="164">
        <f t="shared" si="2"/>
        <v>2387.65427</v>
      </c>
      <c r="H14" s="194">
        <f t="shared" si="2"/>
        <v>1853.2</v>
      </c>
      <c r="I14" s="109">
        <f t="shared" si="2"/>
        <v>2700</v>
      </c>
      <c r="J14" s="109">
        <f t="shared" si="2"/>
        <v>2700</v>
      </c>
      <c r="K14" s="164">
        <f>K15</f>
        <v>2700</v>
      </c>
      <c r="L14" s="314" t="s">
        <v>156</v>
      </c>
      <c r="M14" s="314" t="s">
        <v>187</v>
      </c>
    </row>
    <row r="15" spans="1:17" s="87" customFormat="1" ht="98.25" customHeight="1" x14ac:dyDescent="0.2">
      <c r="A15" s="318"/>
      <c r="B15" s="319"/>
      <c r="C15" s="313"/>
      <c r="D15" s="88" t="s">
        <v>88</v>
      </c>
      <c r="E15" s="163">
        <f>G15</f>
        <v>2387.65427</v>
      </c>
      <c r="F15" s="163">
        <f>SUM(G15:K15)</f>
        <v>12340.85427</v>
      </c>
      <c r="G15" s="163">
        <f>(2387654.27)/1000</f>
        <v>2387.65427</v>
      </c>
      <c r="H15" s="228">
        <f>1853.2</f>
        <v>1853.2</v>
      </c>
      <c r="I15" s="173">
        <v>2700</v>
      </c>
      <c r="J15" s="173">
        <v>2700</v>
      </c>
      <c r="K15" s="163">
        <v>2700</v>
      </c>
      <c r="L15" s="316"/>
      <c r="M15" s="316"/>
    </row>
    <row r="16" spans="1:17" s="87" customFormat="1" ht="16.5" customHeight="1" x14ac:dyDescent="0.2">
      <c r="A16" s="326" t="s">
        <v>33</v>
      </c>
      <c r="B16" s="319" t="s">
        <v>154</v>
      </c>
      <c r="C16" s="311" t="s">
        <v>104</v>
      </c>
      <c r="D16" s="90" t="s">
        <v>31</v>
      </c>
      <c r="E16" s="164">
        <f t="shared" ref="E16:K16" si="3">SUM(E17:E17)</f>
        <v>286.69900000000001</v>
      </c>
      <c r="F16" s="164">
        <f t="shared" si="3"/>
        <v>1436.6990000000001</v>
      </c>
      <c r="G16" s="164">
        <f t="shared" si="3"/>
        <v>286.69900000000001</v>
      </c>
      <c r="H16" s="194">
        <f t="shared" si="3"/>
        <v>100</v>
      </c>
      <c r="I16" s="109">
        <f t="shared" si="3"/>
        <v>350</v>
      </c>
      <c r="J16" s="109">
        <f t="shared" si="3"/>
        <v>350</v>
      </c>
      <c r="K16" s="164">
        <f t="shared" si="3"/>
        <v>350</v>
      </c>
      <c r="L16" s="314" t="s">
        <v>89</v>
      </c>
      <c r="M16" s="314" t="s">
        <v>169</v>
      </c>
    </row>
    <row r="17" spans="1:13" s="87" customFormat="1" ht="51.75" customHeight="1" x14ac:dyDescent="0.2">
      <c r="A17" s="326"/>
      <c r="B17" s="319"/>
      <c r="C17" s="312"/>
      <c r="D17" s="88" t="s">
        <v>90</v>
      </c>
      <c r="E17" s="163">
        <f>G17</f>
        <v>286.69900000000001</v>
      </c>
      <c r="F17" s="163">
        <f>G17+H17+I17+J17+K17</f>
        <v>1436.6990000000001</v>
      </c>
      <c r="G17" s="163">
        <f>(286699)/1000</f>
        <v>286.69900000000001</v>
      </c>
      <c r="H17" s="228">
        <v>100</v>
      </c>
      <c r="I17" s="173">
        <v>350</v>
      </c>
      <c r="J17" s="173">
        <v>350</v>
      </c>
      <c r="K17" s="163">
        <v>350</v>
      </c>
      <c r="L17" s="315"/>
      <c r="M17" s="315"/>
    </row>
    <row r="18" spans="1:13" s="87" customFormat="1" ht="17.25" customHeight="1" x14ac:dyDescent="0.2">
      <c r="A18" s="326" t="s">
        <v>34</v>
      </c>
      <c r="B18" s="319" t="s">
        <v>223</v>
      </c>
      <c r="C18" s="361" t="s">
        <v>104</v>
      </c>
      <c r="D18" s="90" t="s">
        <v>31</v>
      </c>
      <c r="E18" s="164">
        <f t="shared" ref="E18:K24" si="4">SUM(E19:E19)</f>
        <v>51118.31</v>
      </c>
      <c r="F18" s="164">
        <f t="shared" si="4"/>
        <v>236594.71000000002</v>
      </c>
      <c r="G18" s="164">
        <f t="shared" si="4"/>
        <v>51118.31</v>
      </c>
      <c r="H18" s="194">
        <f t="shared" si="4"/>
        <v>46369.1</v>
      </c>
      <c r="I18" s="109">
        <f t="shared" si="4"/>
        <v>46369.1</v>
      </c>
      <c r="J18" s="109">
        <f t="shared" si="4"/>
        <v>46369.1</v>
      </c>
      <c r="K18" s="164">
        <f t="shared" si="4"/>
        <v>46369.1</v>
      </c>
      <c r="L18" s="314" t="s">
        <v>155</v>
      </c>
      <c r="M18" s="314" t="s">
        <v>188</v>
      </c>
    </row>
    <row r="19" spans="1:13" s="87" customFormat="1" ht="103.5" customHeight="1" x14ac:dyDescent="0.2">
      <c r="A19" s="326"/>
      <c r="B19" s="319"/>
      <c r="C19" s="361"/>
      <c r="D19" s="88" t="s">
        <v>90</v>
      </c>
      <c r="E19" s="163">
        <f>G19</f>
        <v>51118.31</v>
      </c>
      <c r="F19" s="163">
        <f>G19+H19+I19+J19+K19</f>
        <v>236594.71000000002</v>
      </c>
      <c r="G19" s="163">
        <v>51118.31</v>
      </c>
      <c r="H19" s="228">
        <v>46369.1</v>
      </c>
      <c r="I19" s="173">
        <v>46369.1</v>
      </c>
      <c r="J19" s="173">
        <v>46369.1</v>
      </c>
      <c r="K19" s="163">
        <v>46369.1</v>
      </c>
      <c r="L19" s="315"/>
      <c r="M19" s="316"/>
    </row>
    <row r="20" spans="1:13" s="87" customFormat="1" ht="17.25" customHeight="1" x14ac:dyDescent="0.2">
      <c r="A20" s="326" t="s">
        <v>72</v>
      </c>
      <c r="B20" s="319" t="s">
        <v>214</v>
      </c>
      <c r="C20" s="320" t="s">
        <v>104</v>
      </c>
      <c r="D20" s="90" t="s">
        <v>31</v>
      </c>
      <c r="E20" s="164">
        <f t="shared" si="4"/>
        <v>2820</v>
      </c>
      <c r="F20" s="164">
        <f t="shared" si="4"/>
        <v>14785.4</v>
      </c>
      <c r="G20" s="164">
        <f t="shared" si="4"/>
        <v>2820</v>
      </c>
      <c r="H20" s="194">
        <f t="shared" si="4"/>
        <v>2932.7</v>
      </c>
      <c r="I20" s="109">
        <f t="shared" si="4"/>
        <v>2932.7</v>
      </c>
      <c r="J20" s="109">
        <f t="shared" si="4"/>
        <v>3050</v>
      </c>
      <c r="K20" s="164">
        <f t="shared" si="4"/>
        <v>3050</v>
      </c>
      <c r="L20" s="314" t="s">
        <v>155</v>
      </c>
      <c r="M20" s="314" t="s">
        <v>168</v>
      </c>
    </row>
    <row r="21" spans="1:13" s="87" customFormat="1" ht="96.75" customHeight="1" x14ac:dyDescent="0.2">
      <c r="A21" s="326"/>
      <c r="B21" s="319"/>
      <c r="C21" s="321"/>
      <c r="D21" s="88" t="s">
        <v>90</v>
      </c>
      <c r="E21" s="163">
        <f>G21</f>
        <v>2820</v>
      </c>
      <c r="F21" s="163">
        <f>G21+H21+I21+J21+K21</f>
        <v>14785.4</v>
      </c>
      <c r="G21" s="163">
        <v>2820</v>
      </c>
      <c r="H21" s="228">
        <v>2932.7</v>
      </c>
      <c r="I21" s="173">
        <v>2932.7</v>
      </c>
      <c r="J21" s="173">
        <v>3050</v>
      </c>
      <c r="K21" s="163">
        <v>3050</v>
      </c>
      <c r="L21" s="315"/>
      <c r="M21" s="316"/>
    </row>
    <row r="22" spans="1:13" s="87" customFormat="1" ht="17.25" customHeight="1" x14ac:dyDescent="0.2">
      <c r="A22" s="326" t="s">
        <v>73</v>
      </c>
      <c r="B22" s="319" t="s">
        <v>218</v>
      </c>
      <c r="C22" s="320" t="s">
        <v>104</v>
      </c>
      <c r="D22" s="90" t="s">
        <v>31</v>
      </c>
      <c r="E22" s="164">
        <f t="shared" si="4"/>
        <v>1165.0999999999999</v>
      </c>
      <c r="F22" s="164">
        <f t="shared" si="4"/>
        <v>5360.4</v>
      </c>
      <c r="G22" s="164">
        <f t="shared" si="4"/>
        <v>1165.0999999999999</v>
      </c>
      <c r="H22" s="194">
        <f t="shared" si="4"/>
        <v>700</v>
      </c>
      <c r="I22" s="109">
        <f t="shared" si="4"/>
        <v>1165.0999999999999</v>
      </c>
      <c r="J22" s="109">
        <f t="shared" si="4"/>
        <v>1165.0999999999999</v>
      </c>
      <c r="K22" s="164">
        <f t="shared" si="4"/>
        <v>1165.0999999999999</v>
      </c>
      <c r="L22" s="314" t="s">
        <v>155</v>
      </c>
      <c r="M22" s="314" t="s">
        <v>168</v>
      </c>
    </row>
    <row r="23" spans="1:13" s="87" customFormat="1" ht="97.5" customHeight="1" x14ac:dyDescent="0.2">
      <c r="A23" s="326"/>
      <c r="B23" s="319"/>
      <c r="C23" s="321"/>
      <c r="D23" s="88" t="s">
        <v>90</v>
      </c>
      <c r="E23" s="163">
        <f>G23</f>
        <v>1165.0999999999999</v>
      </c>
      <c r="F23" s="163">
        <f>G23+H23+I23+J23+K23</f>
        <v>5360.4</v>
      </c>
      <c r="G23" s="163">
        <v>1165.0999999999999</v>
      </c>
      <c r="H23" s="228">
        <v>700</v>
      </c>
      <c r="I23" s="173">
        <v>1165.0999999999999</v>
      </c>
      <c r="J23" s="173">
        <v>1165.0999999999999</v>
      </c>
      <c r="K23" s="163">
        <v>1165.0999999999999</v>
      </c>
      <c r="L23" s="315"/>
      <c r="M23" s="316"/>
    </row>
    <row r="24" spans="1:13" s="87" customFormat="1" ht="17.25" customHeight="1" x14ac:dyDescent="0.2">
      <c r="A24" s="326" t="s">
        <v>74</v>
      </c>
      <c r="B24" s="319" t="s">
        <v>245</v>
      </c>
      <c r="C24" s="320" t="s">
        <v>104</v>
      </c>
      <c r="D24" s="90" t="s">
        <v>31</v>
      </c>
      <c r="E24" s="164">
        <f t="shared" si="4"/>
        <v>1958.2</v>
      </c>
      <c r="F24" s="164">
        <f t="shared" si="4"/>
        <v>19289.599999999999</v>
      </c>
      <c r="G24" s="164">
        <f t="shared" si="4"/>
        <v>1958.2</v>
      </c>
      <c r="H24" s="194">
        <f t="shared" si="4"/>
        <v>3167.2</v>
      </c>
      <c r="I24" s="109">
        <f t="shared" si="4"/>
        <v>4721.3999999999996</v>
      </c>
      <c r="J24" s="109">
        <f t="shared" si="4"/>
        <v>4721.3999999999996</v>
      </c>
      <c r="K24" s="164">
        <f t="shared" si="4"/>
        <v>4721.3999999999996</v>
      </c>
      <c r="L24" s="314" t="s">
        <v>155</v>
      </c>
      <c r="M24" s="314" t="s">
        <v>168</v>
      </c>
    </row>
    <row r="25" spans="1:13" s="87" customFormat="1" ht="114" customHeight="1" x14ac:dyDescent="0.2">
      <c r="A25" s="326"/>
      <c r="B25" s="319"/>
      <c r="C25" s="321"/>
      <c r="D25" s="88" t="s">
        <v>90</v>
      </c>
      <c r="E25" s="163">
        <f>G25</f>
        <v>1958.2</v>
      </c>
      <c r="F25" s="163">
        <f>G25+H25+I25+J25+K25</f>
        <v>19289.599999999999</v>
      </c>
      <c r="G25" s="163">
        <v>1958.2</v>
      </c>
      <c r="H25" s="228">
        <v>3167.2</v>
      </c>
      <c r="I25" s="173">
        <v>4721.3999999999996</v>
      </c>
      <c r="J25" s="173">
        <v>4721.3999999999996</v>
      </c>
      <c r="K25" s="163">
        <v>4721.3999999999996</v>
      </c>
      <c r="L25" s="315"/>
      <c r="M25" s="316"/>
    </row>
    <row r="26" spans="1:13" s="87" customFormat="1" ht="20.25" customHeight="1" x14ac:dyDescent="0.2">
      <c r="A26" s="326" t="s">
        <v>75</v>
      </c>
      <c r="B26" s="319" t="s">
        <v>216</v>
      </c>
      <c r="C26" s="320" t="s">
        <v>104</v>
      </c>
      <c r="D26" s="90" t="s">
        <v>31</v>
      </c>
      <c r="E26" s="164">
        <f t="shared" ref="E26:K28" si="5">SUM(E27:E27)</f>
        <v>879.96755000000007</v>
      </c>
      <c r="F26" s="164">
        <f t="shared" si="5"/>
        <v>8527.10527</v>
      </c>
      <c r="G26" s="164">
        <f t="shared" si="5"/>
        <v>879.96755000000007</v>
      </c>
      <c r="H26" s="194">
        <f t="shared" si="5"/>
        <v>1347.1377199999999</v>
      </c>
      <c r="I26" s="109">
        <f t="shared" si="5"/>
        <v>2100</v>
      </c>
      <c r="J26" s="109">
        <f t="shared" si="5"/>
        <v>2100</v>
      </c>
      <c r="K26" s="164">
        <f t="shared" si="5"/>
        <v>2100</v>
      </c>
      <c r="L26" s="314" t="s">
        <v>155</v>
      </c>
      <c r="M26" s="314" t="s">
        <v>170</v>
      </c>
    </row>
    <row r="27" spans="1:13" s="87" customFormat="1" ht="60" customHeight="1" x14ac:dyDescent="0.2">
      <c r="A27" s="326"/>
      <c r="B27" s="319"/>
      <c r="C27" s="321"/>
      <c r="D27" s="88" t="s">
        <v>90</v>
      </c>
      <c r="E27" s="163">
        <f>G27</f>
        <v>879.96755000000007</v>
      </c>
      <c r="F27" s="163">
        <f>G27+H27+I27+J27+K27</f>
        <v>8527.10527</v>
      </c>
      <c r="G27" s="163">
        <f>879967.55/1000</f>
        <v>879.96755000000007</v>
      </c>
      <c r="H27" s="228">
        <f>1347137.72/1000</f>
        <v>1347.1377199999999</v>
      </c>
      <c r="I27" s="173">
        <v>2100</v>
      </c>
      <c r="J27" s="173">
        <v>2100</v>
      </c>
      <c r="K27" s="163">
        <v>2100</v>
      </c>
      <c r="L27" s="315"/>
      <c r="M27" s="316"/>
    </row>
    <row r="28" spans="1:13" s="87" customFormat="1" ht="20.25" customHeight="1" x14ac:dyDescent="0.2">
      <c r="A28" s="326" t="s">
        <v>108</v>
      </c>
      <c r="B28" s="319" t="s">
        <v>219</v>
      </c>
      <c r="C28" s="320" t="s">
        <v>104</v>
      </c>
      <c r="D28" s="90" t="s">
        <v>31</v>
      </c>
      <c r="E28" s="164">
        <f t="shared" si="5"/>
        <v>846.1</v>
      </c>
      <c r="F28" s="164">
        <f t="shared" si="5"/>
        <v>6906.1</v>
      </c>
      <c r="G28" s="164">
        <f t="shared" si="5"/>
        <v>846.1</v>
      </c>
      <c r="H28" s="194">
        <f t="shared" si="5"/>
        <v>0</v>
      </c>
      <c r="I28" s="109">
        <f t="shared" si="5"/>
        <v>2020</v>
      </c>
      <c r="J28" s="109">
        <f t="shared" si="5"/>
        <v>2020</v>
      </c>
      <c r="K28" s="164">
        <f t="shared" si="5"/>
        <v>2020</v>
      </c>
      <c r="L28" s="314" t="s">
        <v>155</v>
      </c>
      <c r="M28" s="314" t="s">
        <v>211</v>
      </c>
    </row>
    <row r="29" spans="1:13" s="87" customFormat="1" ht="76.5" customHeight="1" x14ac:dyDescent="0.2">
      <c r="A29" s="326"/>
      <c r="B29" s="319"/>
      <c r="C29" s="321"/>
      <c r="D29" s="88" t="s">
        <v>90</v>
      </c>
      <c r="E29" s="163">
        <f>G29</f>
        <v>846.1</v>
      </c>
      <c r="F29" s="163">
        <f>G29+H29+I29+J29+K29</f>
        <v>6906.1</v>
      </c>
      <c r="G29" s="163">
        <f>(39100+807000)/1000</f>
        <v>846.1</v>
      </c>
      <c r="H29" s="228">
        <v>0</v>
      </c>
      <c r="I29" s="173">
        <v>2020</v>
      </c>
      <c r="J29" s="173">
        <v>2020</v>
      </c>
      <c r="K29" s="163">
        <v>2020</v>
      </c>
      <c r="L29" s="315"/>
      <c r="M29" s="316"/>
    </row>
    <row r="30" spans="1:13" s="87" customFormat="1" ht="21.75" customHeight="1" x14ac:dyDescent="0.2">
      <c r="A30" s="326" t="s">
        <v>109</v>
      </c>
      <c r="B30" s="319" t="s">
        <v>220</v>
      </c>
      <c r="C30" s="320" t="s">
        <v>104</v>
      </c>
      <c r="D30" s="90" t="s">
        <v>31</v>
      </c>
      <c r="E30" s="164">
        <f t="shared" ref="E30:K30" si="6">SUM(E31:E31)</f>
        <v>50</v>
      </c>
      <c r="F30" s="164">
        <f t="shared" si="6"/>
        <v>190</v>
      </c>
      <c r="G30" s="164">
        <f t="shared" si="6"/>
        <v>0</v>
      </c>
      <c r="H30" s="194">
        <f t="shared" si="6"/>
        <v>40</v>
      </c>
      <c r="I30" s="109">
        <f t="shared" si="6"/>
        <v>50</v>
      </c>
      <c r="J30" s="109">
        <f t="shared" si="6"/>
        <v>50</v>
      </c>
      <c r="K30" s="164">
        <f t="shared" si="6"/>
        <v>50</v>
      </c>
      <c r="L30" s="314" t="s">
        <v>155</v>
      </c>
      <c r="M30" s="314" t="s">
        <v>171</v>
      </c>
    </row>
    <row r="31" spans="1:13" s="87" customFormat="1" ht="54.75" customHeight="1" x14ac:dyDescent="0.2">
      <c r="A31" s="326"/>
      <c r="B31" s="319"/>
      <c r="C31" s="321"/>
      <c r="D31" s="88" t="s">
        <v>90</v>
      </c>
      <c r="E31" s="163">
        <f>I31</f>
        <v>50</v>
      </c>
      <c r="F31" s="163">
        <f>G31+H31+I31+J31+K31</f>
        <v>190</v>
      </c>
      <c r="G31" s="163">
        <v>0</v>
      </c>
      <c r="H31" s="228">
        <v>40</v>
      </c>
      <c r="I31" s="173">
        <v>50</v>
      </c>
      <c r="J31" s="173">
        <v>50</v>
      </c>
      <c r="K31" s="163">
        <v>50</v>
      </c>
      <c r="L31" s="315"/>
      <c r="M31" s="316"/>
    </row>
    <row r="32" spans="1:13" s="87" customFormat="1" ht="14.25" customHeight="1" x14ac:dyDescent="0.2">
      <c r="A32" s="326" t="s">
        <v>142</v>
      </c>
      <c r="B32" s="319" t="s">
        <v>244</v>
      </c>
      <c r="C32" s="320" t="s">
        <v>104</v>
      </c>
      <c r="D32" s="90" t="s">
        <v>31</v>
      </c>
      <c r="E32" s="164">
        <f t="shared" ref="E32:K32" si="7">SUM(E33:E33)</f>
        <v>56.567999999999998</v>
      </c>
      <c r="F32" s="164">
        <f t="shared" si="7"/>
        <v>1136.568</v>
      </c>
      <c r="G32" s="164">
        <f t="shared" si="7"/>
        <v>56.567999999999998</v>
      </c>
      <c r="H32" s="194">
        <f t="shared" si="7"/>
        <v>0</v>
      </c>
      <c r="I32" s="109">
        <f t="shared" si="7"/>
        <v>360</v>
      </c>
      <c r="J32" s="109">
        <f t="shared" si="7"/>
        <v>360</v>
      </c>
      <c r="K32" s="164">
        <f t="shared" si="7"/>
        <v>360</v>
      </c>
      <c r="L32" s="314" t="s">
        <v>155</v>
      </c>
      <c r="M32" s="314" t="s">
        <v>212</v>
      </c>
    </row>
    <row r="33" spans="1:13" s="87" customFormat="1" ht="120.75" customHeight="1" x14ac:dyDescent="0.2">
      <c r="A33" s="326"/>
      <c r="B33" s="319"/>
      <c r="C33" s="321"/>
      <c r="D33" s="88" t="s">
        <v>90</v>
      </c>
      <c r="E33" s="163">
        <f>G33</f>
        <v>56.567999999999998</v>
      </c>
      <c r="F33" s="163">
        <f>G33+H33+I33+J33+K33</f>
        <v>1136.568</v>
      </c>
      <c r="G33" s="163">
        <f>56568/1000</f>
        <v>56.567999999999998</v>
      </c>
      <c r="H33" s="228">
        <v>0</v>
      </c>
      <c r="I33" s="173">
        <v>360</v>
      </c>
      <c r="J33" s="173">
        <v>360</v>
      </c>
      <c r="K33" s="163">
        <v>360</v>
      </c>
      <c r="L33" s="315"/>
      <c r="M33" s="316"/>
    </row>
    <row r="34" spans="1:13" s="87" customFormat="1" ht="14.25" customHeight="1" x14ac:dyDescent="0.2">
      <c r="A34" s="326" t="s">
        <v>143</v>
      </c>
      <c r="B34" s="319" t="s">
        <v>221</v>
      </c>
      <c r="C34" s="320" t="s">
        <v>104</v>
      </c>
      <c r="D34" s="90" t="s">
        <v>31</v>
      </c>
      <c r="E34" s="164">
        <f t="shared" ref="E34:K34" si="8">SUM(E35:E35)</f>
        <v>200</v>
      </c>
      <c r="F34" s="164">
        <f t="shared" si="8"/>
        <v>1475</v>
      </c>
      <c r="G34" s="164">
        <f t="shared" si="8"/>
        <v>200</v>
      </c>
      <c r="H34" s="194">
        <f t="shared" si="8"/>
        <v>0</v>
      </c>
      <c r="I34" s="109">
        <f t="shared" si="8"/>
        <v>425</v>
      </c>
      <c r="J34" s="109">
        <f t="shared" si="8"/>
        <v>425</v>
      </c>
      <c r="K34" s="164">
        <f t="shared" si="8"/>
        <v>425</v>
      </c>
      <c r="L34" s="314" t="s">
        <v>155</v>
      </c>
      <c r="M34" s="314" t="s">
        <v>189</v>
      </c>
    </row>
    <row r="35" spans="1:13" s="87" customFormat="1" ht="51" customHeight="1" x14ac:dyDescent="0.2">
      <c r="A35" s="326"/>
      <c r="B35" s="366"/>
      <c r="C35" s="352"/>
      <c r="D35" s="91" t="s">
        <v>90</v>
      </c>
      <c r="E35" s="165">
        <f>G35</f>
        <v>200</v>
      </c>
      <c r="F35" s="165">
        <f>G35+H35+I35+J35+K35</f>
        <v>1475</v>
      </c>
      <c r="G35" s="166">
        <v>200</v>
      </c>
      <c r="H35" s="229">
        <v>0</v>
      </c>
      <c r="I35" s="169">
        <v>425</v>
      </c>
      <c r="J35" s="169">
        <v>425</v>
      </c>
      <c r="K35" s="166">
        <v>425</v>
      </c>
      <c r="L35" s="315"/>
      <c r="M35" s="315"/>
    </row>
    <row r="36" spans="1:13" s="87" customFormat="1" ht="14.25" customHeight="1" x14ac:dyDescent="0.2">
      <c r="A36" s="305" t="s">
        <v>197</v>
      </c>
      <c r="B36" s="350" t="s">
        <v>215</v>
      </c>
      <c r="C36" s="320" t="s">
        <v>104</v>
      </c>
      <c r="D36" s="90" t="s">
        <v>31</v>
      </c>
      <c r="E36" s="164">
        <f t="shared" ref="E36:K40" si="9">SUM(E37:E37)</f>
        <v>194.82329999999999</v>
      </c>
      <c r="F36" s="164">
        <f t="shared" si="9"/>
        <v>1394.8233</v>
      </c>
      <c r="G36" s="164">
        <f t="shared" si="9"/>
        <v>194.82329999999999</v>
      </c>
      <c r="H36" s="194">
        <f t="shared" si="9"/>
        <v>300</v>
      </c>
      <c r="I36" s="109">
        <f t="shared" si="9"/>
        <v>300</v>
      </c>
      <c r="J36" s="109">
        <f t="shared" si="9"/>
        <v>300</v>
      </c>
      <c r="K36" s="164">
        <f t="shared" si="9"/>
        <v>300</v>
      </c>
      <c r="L36" s="314" t="s">
        <v>155</v>
      </c>
      <c r="M36" s="314" t="s">
        <v>184</v>
      </c>
    </row>
    <row r="37" spans="1:13" s="87" customFormat="1" ht="82.5" customHeight="1" x14ac:dyDescent="0.2">
      <c r="A37" s="307"/>
      <c r="B37" s="351"/>
      <c r="C37" s="352"/>
      <c r="D37" s="91" t="s">
        <v>90</v>
      </c>
      <c r="E37" s="165">
        <f>G37</f>
        <v>194.82329999999999</v>
      </c>
      <c r="F37" s="165">
        <f>G37+H37+I37+J37+K37</f>
        <v>1394.8233</v>
      </c>
      <c r="G37" s="163">
        <f>194823.3/1000</f>
        <v>194.82329999999999</v>
      </c>
      <c r="H37" s="228">
        <f>(300000)/1000</f>
        <v>300</v>
      </c>
      <c r="I37" s="173">
        <v>300</v>
      </c>
      <c r="J37" s="173">
        <v>300</v>
      </c>
      <c r="K37" s="163">
        <v>300</v>
      </c>
      <c r="L37" s="315"/>
      <c r="M37" s="316"/>
    </row>
    <row r="38" spans="1:13" s="87" customFormat="1" ht="14.25" customHeight="1" x14ac:dyDescent="0.2">
      <c r="A38" s="305" t="s">
        <v>275</v>
      </c>
      <c r="B38" s="350" t="s">
        <v>277</v>
      </c>
      <c r="C38" s="320" t="s">
        <v>104</v>
      </c>
      <c r="D38" s="90" t="s">
        <v>31</v>
      </c>
      <c r="E38" s="164">
        <f t="shared" si="9"/>
        <v>99.5</v>
      </c>
      <c r="F38" s="164">
        <f t="shared" si="9"/>
        <v>897.5</v>
      </c>
      <c r="G38" s="164">
        <f t="shared" si="9"/>
        <v>99.5</v>
      </c>
      <c r="H38" s="194">
        <f t="shared" si="9"/>
        <v>198</v>
      </c>
      <c r="I38" s="109">
        <f t="shared" si="9"/>
        <v>200</v>
      </c>
      <c r="J38" s="109">
        <f t="shared" si="9"/>
        <v>200</v>
      </c>
      <c r="K38" s="164">
        <f t="shared" si="9"/>
        <v>200</v>
      </c>
      <c r="L38" s="314" t="s">
        <v>155</v>
      </c>
      <c r="M38" s="314" t="s">
        <v>279</v>
      </c>
    </row>
    <row r="39" spans="1:13" s="87" customFormat="1" ht="82.5" customHeight="1" x14ac:dyDescent="0.2">
      <c r="A39" s="307"/>
      <c r="B39" s="351"/>
      <c r="C39" s="352"/>
      <c r="D39" s="91" t="s">
        <v>90</v>
      </c>
      <c r="E39" s="165">
        <f>G39</f>
        <v>99.5</v>
      </c>
      <c r="F39" s="165">
        <f>G39+H39+I39+J39+K39</f>
        <v>897.5</v>
      </c>
      <c r="G39" s="163">
        <f>99500/1000</f>
        <v>99.5</v>
      </c>
      <c r="H39" s="228">
        <v>198</v>
      </c>
      <c r="I39" s="173">
        <v>200</v>
      </c>
      <c r="J39" s="173">
        <v>200</v>
      </c>
      <c r="K39" s="163">
        <v>200</v>
      </c>
      <c r="L39" s="315"/>
      <c r="M39" s="316"/>
    </row>
    <row r="40" spans="1:13" s="87" customFormat="1" ht="14.25" customHeight="1" x14ac:dyDescent="0.2">
      <c r="A40" s="305" t="s">
        <v>276</v>
      </c>
      <c r="B40" s="350" t="s">
        <v>278</v>
      </c>
      <c r="C40" s="320" t="s">
        <v>104</v>
      </c>
      <c r="D40" s="90" t="s">
        <v>31</v>
      </c>
      <c r="E40" s="164">
        <f t="shared" si="9"/>
        <v>21.726299999999998</v>
      </c>
      <c r="F40" s="164">
        <f t="shared" si="9"/>
        <v>120.72629999999999</v>
      </c>
      <c r="G40" s="164">
        <f t="shared" si="9"/>
        <v>21.726299999999998</v>
      </c>
      <c r="H40" s="194">
        <f t="shared" si="9"/>
        <v>24</v>
      </c>
      <c r="I40" s="109">
        <f t="shared" si="9"/>
        <v>25</v>
      </c>
      <c r="J40" s="109">
        <f t="shared" si="9"/>
        <v>25</v>
      </c>
      <c r="K40" s="164">
        <f t="shared" si="9"/>
        <v>25</v>
      </c>
      <c r="L40" s="330" t="s">
        <v>344</v>
      </c>
      <c r="M40" s="314" t="s">
        <v>280</v>
      </c>
    </row>
    <row r="41" spans="1:13" s="87" customFormat="1" ht="82.5" customHeight="1" x14ac:dyDescent="0.2">
      <c r="A41" s="307"/>
      <c r="B41" s="351"/>
      <c r="C41" s="352"/>
      <c r="D41" s="91" t="s">
        <v>90</v>
      </c>
      <c r="E41" s="165">
        <f>G41</f>
        <v>21.726299999999998</v>
      </c>
      <c r="F41" s="165">
        <f>G41+H41+I41+J41+K41</f>
        <v>120.72629999999999</v>
      </c>
      <c r="G41" s="163">
        <f>21726.3/1000</f>
        <v>21.726299999999998</v>
      </c>
      <c r="H41" s="228">
        <v>24</v>
      </c>
      <c r="I41" s="173">
        <v>25</v>
      </c>
      <c r="J41" s="173">
        <v>25</v>
      </c>
      <c r="K41" s="163">
        <v>25</v>
      </c>
      <c r="L41" s="331"/>
      <c r="M41" s="316"/>
    </row>
    <row r="42" spans="1:13" s="87" customFormat="1" ht="18.75" customHeight="1" x14ac:dyDescent="0.2">
      <c r="A42" s="326" t="s">
        <v>147</v>
      </c>
      <c r="B42" s="319" t="s">
        <v>342</v>
      </c>
      <c r="C42" s="320" t="s">
        <v>104</v>
      </c>
      <c r="D42" s="90" t="s">
        <v>31</v>
      </c>
      <c r="E42" s="164">
        <f>E43</f>
        <v>0</v>
      </c>
      <c r="F42" s="164">
        <f t="shared" ref="F42:F43" si="10">SUM(G42:K42)</f>
        <v>590</v>
      </c>
      <c r="G42" s="164">
        <f>G43</f>
        <v>0</v>
      </c>
      <c r="H42" s="194">
        <f>H43</f>
        <v>590</v>
      </c>
      <c r="I42" s="109">
        <f>I43</f>
        <v>0</v>
      </c>
      <c r="J42" s="109">
        <f>J43</f>
        <v>0</v>
      </c>
      <c r="K42" s="164">
        <f t="shared" ref="K42" si="11">K43</f>
        <v>0</v>
      </c>
      <c r="L42" s="330" t="s">
        <v>344</v>
      </c>
      <c r="M42" s="314" t="s">
        <v>174</v>
      </c>
    </row>
    <row r="43" spans="1:13" s="87" customFormat="1" ht="56.25" customHeight="1" x14ac:dyDescent="0.2">
      <c r="A43" s="326"/>
      <c r="B43" s="319"/>
      <c r="C43" s="321"/>
      <c r="D43" s="121" t="s">
        <v>70</v>
      </c>
      <c r="E43" s="163">
        <f>G43</f>
        <v>0</v>
      </c>
      <c r="F43" s="163">
        <f t="shared" si="10"/>
        <v>590</v>
      </c>
      <c r="G43" s="163">
        <v>0</v>
      </c>
      <c r="H43" s="228">
        <v>590</v>
      </c>
      <c r="I43" s="173">
        <v>0</v>
      </c>
      <c r="J43" s="173">
        <v>0</v>
      </c>
      <c r="K43" s="163">
        <v>0</v>
      </c>
      <c r="L43" s="331"/>
      <c r="M43" s="315"/>
    </row>
    <row r="44" spans="1:13" s="87" customFormat="1" ht="17.25" customHeight="1" x14ac:dyDescent="0.2">
      <c r="A44" s="305" t="s">
        <v>46</v>
      </c>
      <c r="B44" s="344" t="s">
        <v>162</v>
      </c>
      <c r="C44" s="345"/>
      <c r="D44" s="90" t="s">
        <v>31</v>
      </c>
      <c r="E44" s="164">
        <f>E45+E46</f>
        <v>32751.842400000001</v>
      </c>
      <c r="F44" s="164">
        <f>F45+F46</f>
        <v>49612.642399999997</v>
      </c>
      <c r="G44" s="164">
        <f>SUM(G45:G46)</f>
        <v>32751.842400000001</v>
      </c>
      <c r="H44" s="194">
        <f t="shared" ref="H44:K44" si="12">SUM(H45:H46)</f>
        <v>8921.6</v>
      </c>
      <c r="I44" s="109">
        <f t="shared" si="12"/>
        <v>7939.2</v>
      </c>
      <c r="J44" s="109">
        <f t="shared" si="12"/>
        <v>0</v>
      </c>
      <c r="K44" s="164">
        <f t="shared" si="12"/>
        <v>0</v>
      </c>
      <c r="L44" s="314" t="s">
        <v>345</v>
      </c>
      <c r="M44" s="314"/>
    </row>
    <row r="45" spans="1:13" s="87" customFormat="1" ht="45" customHeight="1" x14ac:dyDescent="0.2">
      <c r="A45" s="306"/>
      <c r="B45" s="346"/>
      <c r="C45" s="347"/>
      <c r="D45" s="89" t="s">
        <v>86</v>
      </c>
      <c r="E45" s="163">
        <f>G45</f>
        <v>6327.4724000000006</v>
      </c>
      <c r="F45" s="163">
        <f>SUM(G45:K45)</f>
        <v>15249.072400000001</v>
      </c>
      <c r="G45" s="163">
        <f>G48+G59+G50+G53</f>
        <v>6327.4724000000006</v>
      </c>
      <c r="H45" s="228">
        <f>H48+H59+H50+H53+H56</f>
        <v>8921.6</v>
      </c>
      <c r="I45" s="173">
        <f>I48+I59+I50+I53+I56</f>
        <v>0</v>
      </c>
      <c r="J45" s="173">
        <f>J48+J59+J50+J53+J56</f>
        <v>0</v>
      </c>
      <c r="K45" s="173">
        <f>K48+K59+K50+K53+K56</f>
        <v>0</v>
      </c>
      <c r="L45" s="315"/>
      <c r="M45" s="315"/>
    </row>
    <row r="46" spans="1:13" s="87" customFormat="1" ht="39.75" customHeight="1" x14ac:dyDescent="0.2">
      <c r="A46" s="307"/>
      <c r="B46" s="348"/>
      <c r="C46" s="349"/>
      <c r="D46" s="88" t="s">
        <v>12</v>
      </c>
      <c r="E46" s="163">
        <f>G46</f>
        <v>26424.37</v>
      </c>
      <c r="F46" s="163">
        <f>SUM(G46:K46)</f>
        <v>34363.57</v>
      </c>
      <c r="G46" s="163">
        <f>G52</f>
        <v>26424.37</v>
      </c>
      <c r="H46" s="228">
        <f>H58</f>
        <v>0</v>
      </c>
      <c r="I46" s="173">
        <f>I52+I55</f>
        <v>7939.2</v>
      </c>
      <c r="J46" s="190">
        <f>J52+J55</f>
        <v>0</v>
      </c>
      <c r="K46" s="190">
        <f>K52+K55+K58</f>
        <v>0</v>
      </c>
      <c r="L46" s="316"/>
      <c r="M46" s="316"/>
    </row>
    <row r="47" spans="1:13" s="87" customFormat="1" ht="15.75" x14ac:dyDescent="0.2">
      <c r="A47" s="326" t="s">
        <v>58</v>
      </c>
      <c r="B47" s="319" t="s">
        <v>68</v>
      </c>
      <c r="C47" s="311" t="s">
        <v>104</v>
      </c>
      <c r="D47" s="90" t="s">
        <v>11</v>
      </c>
      <c r="E47" s="164">
        <f>E48</f>
        <v>0</v>
      </c>
      <c r="F47" s="164">
        <f t="shared" ref="F47:K47" si="13">F48</f>
        <v>0</v>
      </c>
      <c r="G47" s="164">
        <f t="shared" si="13"/>
        <v>0</v>
      </c>
      <c r="H47" s="194">
        <f t="shared" si="13"/>
        <v>0</v>
      </c>
      <c r="I47" s="109">
        <f t="shared" si="13"/>
        <v>0</v>
      </c>
      <c r="J47" s="109">
        <f t="shared" si="13"/>
        <v>0</v>
      </c>
      <c r="K47" s="164">
        <f t="shared" si="13"/>
        <v>0</v>
      </c>
      <c r="L47" s="314" t="s">
        <v>155</v>
      </c>
      <c r="M47" s="314"/>
    </row>
    <row r="48" spans="1:13" s="87" customFormat="1" ht="81.75" customHeight="1" x14ac:dyDescent="0.2">
      <c r="A48" s="326"/>
      <c r="B48" s="319"/>
      <c r="C48" s="313"/>
      <c r="D48" s="88" t="s">
        <v>90</v>
      </c>
      <c r="E48" s="163">
        <f>I48</f>
        <v>0</v>
      </c>
      <c r="F48" s="163">
        <f>G48+H48+I48+J48+K48</f>
        <v>0</v>
      </c>
      <c r="G48" s="163">
        <v>0</v>
      </c>
      <c r="H48" s="228">
        <v>0</v>
      </c>
      <c r="I48" s="173">
        <v>0</v>
      </c>
      <c r="J48" s="173">
        <v>0</v>
      </c>
      <c r="K48" s="163">
        <v>0</v>
      </c>
      <c r="L48" s="316"/>
      <c r="M48" s="316"/>
    </row>
    <row r="49" spans="1:17" s="87" customFormat="1" ht="15" customHeight="1" x14ac:dyDescent="0.2">
      <c r="A49" s="305" t="s">
        <v>176</v>
      </c>
      <c r="B49" s="308" t="s">
        <v>415</v>
      </c>
      <c r="C49" s="311" t="s">
        <v>104</v>
      </c>
      <c r="D49" s="90" t="s">
        <v>31</v>
      </c>
      <c r="E49" s="164">
        <f t="shared" ref="E49:K49" si="14">SUM(E50:E50)</f>
        <v>799.76240000000007</v>
      </c>
      <c r="F49" s="164">
        <f t="shared" si="14"/>
        <v>2899.7624000000001</v>
      </c>
      <c r="G49" s="164">
        <f t="shared" si="14"/>
        <v>799.76240000000007</v>
      </c>
      <c r="H49" s="194">
        <f t="shared" si="14"/>
        <v>2100</v>
      </c>
      <c r="I49" s="109">
        <f t="shared" si="14"/>
        <v>0</v>
      </c>
      <c r="J49" s="109">
        <f t="shared" si="14"/>
        <v>0</v>
      </c>
      <c r="K49" s="164">
        <f t="shared" si="14"/>
        <v>0</v>
      </c>
      <c r="L49" s="315" t="s">
        <v>155</v>
      </c>
      <c r="M49" s="314" t="s">
        <v>289</v>
      </c>
    </row>
    <row r="50" spans="1:17" s="87" customFormat="1" ht="66.75" customHeight="1" x14ac:dyDescent="0.2">
      <c r="A50" s="307"/>
      <c r="B50" s="310"/>
      <c r="C50" s="313"/>
      <c r="D50" s="88" t="s">
        <v>90</v>
      </c>
      <c r="E50" s="163">
        <f>G50</f>
        <v>799.76240000000007</v>
      </c>
      <c r="F50" s="163">
        <f>G50+H50+I50+J50+K50</f>
        <v>2899.7624000000001</v>
      </c>
      <c r="G50" s="163">
        <f>799762.4/1000</f>
        <v>799.76240000000007</v>
      </c>
      <c r="H50" s="228">
        <v>2100</v>
      </c>
      <c r="I50" s="173">
        <v>0</v>
      </c>
      <c r="J50" s="173">
        <v>0</v>
      </c>
      <c r="K50" s="163">
        <v>0</v>
      </c>
      <c r="L50" s="316"/>
      <c r="M50" s="316"/>
    </row>
    <row r="51" spans="1:17" s="87" customFormat="1" ht="15" customHeight="1" x14ac:dyDescent="0.2">
      <c r="A51" s="305" t="s">
        <v>190</v>
      </c>
      <c r="B51" s="308" t="s">
        <v>283</v>
      </c>
      <c r="C51" s="311" t="s">
        <v>104</v>
      </c>
      <c r="D51" s="90" t="s">
        <v>31</v>
      </c>
      <c r="E51" s="164">
        <f t="shared" ref="E51:K51" si="15">SUM(E52:E53)</f>
        <v>31952.079999999998</v>
      </c>
      <c r="F51" s="164">
        <f t="shared" si="15"/>
        <v>31952.079999999998</v>
      </c>
      <c r="G51" s="164">
        <f t="shared" si="15"/>
        <v>31952.079999999998</v>
      </c>
      <c r="H51" s="194">
        <f t="shared" si="15"/>
        <v>0</v>
      </c>
      <c r="I51" s="109">
        <f t="shared" si="15"/>
        <v>0</v>
      </c>
      <c r="J51" s="109">
        <f t="shared" si="15"/>
        <v>0</v>
      </c>
      <c r="K51" s="164">
        <f t="shared" si="15"/>
        <v>0</v>
      </c>
      <c r="L51" s="314" t="s">
        <v>155</v>
      </c>
      <c r="M51" s="314" t="s">
        <v>273</v>
      </c>
    </row>
    <row r="52" spans="1:17" s="87" customFormat="1" ht="38.25" customHeight="1" x14ac:dyDescent="0.2">
      <c r="A52" s="306"/>
      <c r="B52" s="309"/>
      <c r="C52" s="312"/>
      <c r="D52" s="141" t="s">
        <v>12</v>
      </c>
      <c r="E52" s="163">
        <f>G52</f>
        <v>26424.37</v>
      </c>
      <c r="F52" s="163">
        <f>G52+H52+I52+J52+K52</f>
        <v>26424.37</v>
      </c>
      <c r="G52" s="163">
        <f>26424370/1000</f>
        <v>26424.37</v>
      </c>
      <c r="H52" s="228">
        <v>0</v>
      </c>
      <c r="I52" s="173">
        <v>0</v>
      </c>
      <c r="J52" s="173">
        <v>0</v>
      </c>
      <c r="K52" s="163">
        <v>0</v>
      </c>
      <c r="L52" s="315"/>
      <c r="M52" s="315"/>
    </row>
    <row r="53" spans="1:17" s="87" customFormat="1" ht="46.5" customHeight="1" x14ac:dyDescent="0.2">
      <c r="A53" s="307"/>
      <c r="B53" s="310"/>
      <c r="C53" s="313"/>
      <c r="D53" s="141" t="s">
        <v>90</v>
      </c>
      <c r="E53" s="163">
        <f>G53</f>
        <v>5527.71</v>
      </c>
      <c r="F53" s="163">
        <f>G53+H53+I53+J53+K53</f>
        <v>5527.71</v>
      </c>
      <c r="G53" s="167">
        <f>5527710/1000</f>
        <v>5527.71</v>
      </c>
      <c r="H53" s="228">
        <v>0</v>
      </c>
      <c r="I53" s="173">
        <v>0</v>
      </c>
      <c r="J53" s="173">
        <v>0</v>
      </c>
      <c r="K53" s="163">
        <v>0</v>
      </c>
      <c r="L53" s="316"/>
      <c r="M53" s="316"/>
    </row>
    <row r="54" spans="1:17" s="87" customFormat="1" ht="15" customHeight="1" x14ac:dyDescent="0.2">
      <c r="A54" s="305" t="s">
        <v>357</v>
      </c>
      <c r="B54" s="308" t="s">
        <v>417</v>
      </c>
      <c r="C54" s="311" t="s">
        <v>104</v>
      </c>
      <c r="D54" s="90" t="s">
        <v>31</v>
      </c>
      <c r="E54" s="164">
        <f t="shared" ref="E54:K54" si="16">SUM(E55:E56)</f>
        <v>0</v>
      </c>
      <c r="F54" s="164">
        <f t="shared" si="16"/>
        <v>11260.8</v>
      </c>
      <c r="G54" s="164">
        <f t="shared" si="16"/>
        <v>0</v>
      </c>
      <c r="H54" s="194">
        <f t="shared" si="16"/>
        <v>3321.6</v>
      </c>
      <c r="I54" s="109">
        <f t="shared" si="16"/>
        <v>7939.2</v>
      </c>
      <c r="J54" s="109">
        <f t="shared" si="16"/>
        <v>0</v>
      </c>
      <c r="K54" s="164">
        <f t="shared" si="16"/>
        <v>0</v>
      </c>
      <c r="L54" s="314" t="s">
        <v>155</v>
      </c>
      <c r="M54" s="314" t="s">
        <v>438</v>
      </c>
    </row>
    <row r="55" spans="1:17" s="87" customFormat="1" ht="38.25" customHeight="1" x14ac:dyDescent="0.2">
      <c r="A55" s="306"/>
      <c r="B55" s="309"/>
      <c r="C55" s="312"/>
      <c r="D55" s="141" t="s">
        <v>12</v>
      </c>
      <c r="E55" s="163">
        <f>G55</f>
        <v>0</v>
      </c>
      <c r="F55" s="163">
        <f>G55+H55+I55+J55+K55</f>
        <v>7939.2</v>
      </c>
      <c r="G55" s="163">
        <v>0</v>
      </c>
      <c r="H55" s="228">
        <v>0</v>
      </c>
      <c r="I55" s="173">
        <v>7939.2</v>
      </c>
      <c r="J55" s="173">
        <v>0</v>
      </c>
      <c r="K55" s="163">
        <v>0</v>
      </c>
      <c r="L55" s="315"/>
      <c r="M55" s="315"/>
    </row>
    <row r="56" spans="1:17" s="87" customFormat="1" ht="56.25" customHeight="1" x14ac:dyDescent="0.2">
      <c r="A56" s="307"/>
      <c r="B56" s="310"/>
      <c r="C56" s="313"/>
      <c r="D56" s="141" t="s">
        <v>90</v>
      </c>
      <c r="E56" s="163">
        <f>G56</f>
        <v>0</v>
      </c>
      <c r="F56" s="163">
        <f>G56+H56+I56+J56+K56</f>
        <v>3321.6</v>
      </c>
      <c r="G56" s="167">
        <v>0</v>
      </c>
      <c r="H56" s="228">
        <f>1660.8+1660.8</f>
        <v>3321.6</v>
      </c>
      <c r="I56" s="173">
        <v>0</v>
      </c>
      <c r="J56" s="173">
        <v>0</v>
      </c>
      <c r="K56" s="163">
        <v>0</v>
      </c>
      <c r="L56" s="316"/>
      <c r="M56" s="316"/>
    </row>
    <row r="57" spans="1:17" s="87" customFormat="1" ht="15" customHeight="1" x14ac:dyDescent="0.2">
      <c r="A57" s="305" t="s">
        <v>358</v>
      </c>
      <c r="B57" s="308" t="s">
        <v>433</v>
      </c>
      <c r="C57" s="311" t="s">
        <v>104</v>
      </c>
      <c r="D57" s="90" t="s">
        <v>31</v>
      </c>
      <c r="E57" s="164">
        <f t="shared" ref="E57:K57" si="17">SUM(E58:E59)</f>
        <v>0</v>
      </c>
      <c r="F57" s="164">
        <f t="shared" si="17"/>
        <v>3500</v>
      </c>
      <c r="G57" s="164">
        <f t="shared" si="17"/>
        <v>0</v>
      </c>
      <c r="H57" s="194">
        <f t="shared" si="17"/>
        <v>3500</v>
      </c>
      <c r="I57" s="109">
        <f t="shared" si="17"/>
        <v>0</v>
      </c>
      <c r="J57" s="109">
        <f t="shared" si="17"/>
        <v>0</v>
      </c>
      <c r="K57" s="164">
        <f t="shared" si="17"/>
        <v>0</v>
      </c>
      <c r="L57" s="314" t="s">
        <v>155</v>
      </c>
      <c r="M57" s="314" t="s">
        <v>437</v>
      </c>
    </row>
    <row r="58" spans="1:17" s="87" customFormat="1" ht="38.25" customHeight="1" x14ac:dyDescent="0.2">
      <c r="A58" s="306"/>
      <c r="B58" s="309"/>
      <c r="C58" s="312"/>
      <c r="D58" s="88" t="s">
        <v>12</v>
      </c>
      <c r="E58" s="163">
        <f>G58</f>
        <v>0</v>
      </c>
      <c r="F58" s="163">
        <f>G58+H58+I58+J58+K58</f>
        <v>0</v>
      </c>
      <c r="G58" s="163">
        <v>0</v>
      </c>
      <c r="H58" s="228">
        <v>0</v>
      </c>
      <c r="I58" s="173">
        <v>0</v>
      </c>
      <c r="J58" s="173">
        <v>0</v>
      </c>
      <c r="K58" s="163">
        <v>0</v>
      </c>
      <c r="L58" s="315"/>
      <c r="M58" s="315"/>
    </row>
    <row r="59" spans="1:17" s="87" customFormat="1" ht="61.5" customHeight="1" x14ac:dyDescent="0.2">
      <c r="A59" s="307"/>
      <c r="B59" s="310"/>
      <c r="C59" s="313"/>
      <c r="D59" s="88" t="s">
        <v>90</v>
      </c>
      <c r="E59" s="163">
        <f>G59</f>
        <v>0</v>
      </c>
      <c r="F59" s="163">
        <f>G59+H59+I59+J59+K59</f>
        <v>3500</v>
      </c>
      <c r="G59" s="167">
        <v>0</v>
      </c>
      <c r="H59" s="228">
        <v>3500</v>
      </c>
      <c r="I59" s="173">
        <v>0</v>
      </c>
      <c r="J59" s="173">
        <v>0</v>
      </c>
      <c r="K59" s="163">
        <v>0</v>
      </c>
      <c r="L59" s="316"/>
      <c r="M59" s="316"/>
    </row>
    <row r="60" spans="1:17" s="87" customFormat="1" ht="15.75" x14ac:dyDescent="0.2">
      <c r="A60" s="235" t="s">
        <v>35</v>
      </c>
      <c r="B60" s="235"/>
      <c r="C60" s="235"/>
      <c r="D60" s="90" t="s">
        <v>36</v>
      </c>
      <c r="E60" s="164">
        <f>E61+E63</f>
        <v>94786.490819999992</v>
      </c>
      <c r="F60" s="164">
        <f>SUM(G60:K60)</f>
        <v>360658.12853999995</v>
      </c>
      <c r="G60" s="164">
        <f>G61+G63</f>
        <v>94786.490819999992</v>
      </c>
      <c r="H60" s="194">
        <f t="shared" ref="H60:K60" si="18">H61+H63</f>
        <v>66542.937719999987</v>
      </c>
      <c r="I60" s="109">
        <f t="shared" si="18"/>
        <v>71657.5</v>
      </c>
      <c r="J60" s="109">
        <f t="shared" si="18"/>
        <v>63835.6</v>
      </c>
      <c r="K60" s="164">
        <f t="shared" si="18"/>
        <v>63835.6</v>
      </c>
      <c r="L60" s="88"/>
      <c r="M60" s="93"/>
    </row>
    <row r="61" spans="1:17" ht="15" customHeight="1" x14ac:dyDescent="0.2">
      <c r="A61" s="235"/>
      <c r="B61" s="235"/>
      <c r="C61" s="235"/>
      <c r="D61" s="339" t="s">
        <v>91</v>
      </c>
      <c r="E61" s="322">
        <f>G61</f>
        <v>68362.120819999996</v>
      </c>
      <c r="F61" s="322">
        <f>SUM(G61:K62)</f>
        <v>326294.55853999994</v>
      </c>
      <c r="G61" s="322">
        <f>G13+G45</f>
        <v>68362.120819999996</v>
      </c>
      <c r="H61" s="487">
        <f>H13+H45</f>
        <v>66542.937719999987</v>
      </c>
      <c r="I61" s="322">
        <f>I13+I45</f>
        <v>63718.299999999996</v>
      </c>
      <c r="J61" s="322">
        <f>J13+J45</f>
        <v>63835.6</v>
      </c>
      <c r="K61" s="322">
        <f>K13+K45</f>
        <v>63835.6</v>
      </c>
      <c r="L61" s="341"/>
      <c r="M61" s="354"/>
    </row>
    <row r="62" spans="1:17" ht="39.75" customHeight="1" x14ac:dyDescent="0.2">
      <c r="A62" s="235"/>
      <c r="B62" s="235"/>
      <c r="C62" s="235"/>
      <c r="D62" s="340"/>
      <c r="E62" s="322"/>
      <c r="F62" s="322"/>
      <c r="G62" s="322"/>
      <c r="H62" s="487"/>
      <c r="I62" s="322"/>
      <c r="J62" s="322"/>
      <c r="K62" s="322"/>
      <c r="L62" s="341"/>
      <c r="M62" s="354"/>
      <c r="Q62" s="68">
        <f>62905.2-H61</f>
        <v>-3637.7377199999901</v>
      </c>
    </row>
    <row r="63" spans="1:17" ht="57" customHeight="1" x14ac:dyDescent="0.2">
      <c r="A63" s="235"/>
      <c r="B63" s="235"/>
      <c r="C63" s="235"/>
      <c r="D63" s="25" t="s">
        <v>45</v>
      </c>
      <c r="E63" s="168">
        <f>G63</f>
        <v>26424.37</v>
      </c>
      <c r="F63" s="168">
        <f>SUM(G63:K63)</f>
        <v>34363.57</v>
      </c>
      <c r="G63" s="168">
        <f>G46</f>
        <v>26424.37</v>
      </c>
      <c r="H63" s="194">
        <f>H46</f>
        <v>0</v>
      </c>
      <c r="I63" s="168">
        <f>I46</f>
        <v>7939.2</v>
      </c>
      <c r="J63" s="168">
        <f>J46</f>
        <v>0</v>
      </c>
      <c r="K63" s="168">
        <f>K46</f>
        <v>0</v>
      </c>
      <c r="L63" s="26"/>
      <c r="M63" s="94"/>
    </row>
    <row r="64" spans="1:17" ht="27.75" customHeight="1" x14ac:dyDescent="0.2">
      <c r="A64" s="355" t="s">
        <v>79</v>
      </c>
      <c r="B64" s="355"/>
      <c r="C64" s="355"/>
      <c r="D64" s="355"/>
      <c r="E64" s="355"/>
      <c r="F64" s="355"/>
      <c r="G64" s="355"/>
      <c r="H64" s="355"/>
      <c r="I64" s="355"/>
      <c r="J64" s="355"/>
      <c r="K64" s="355"/>
      <c r="L64" s="355"/>
      <c r="M64" s="355"/>
    </row>
    <row r="65" spans="1:17" s="27" customFormat="1" ht="20.25" customHeight="1" x14ac:dyDescent="0.2">
      <c r="A65" s="327" t="s">
        <v>62</v>
      </c>
      <c r="B65" s="367" t="s">
        <v>117</v>
      </c>
      <c r="C65" s="368"/>
      <c r="D65" s="21" t="s">
        <v>31</v>
      </c>
      <c r="E65" s="109">
        <f>G65</f>
        <v>37882.112949999995</v>
      </c>
      <c r="F65" s="109">
        <f>SUM(G65:K65)</f>
        <v>177587.46934000001</v>
      </c>
      <c r="G65" s="109">
        <f>G66</f>
        <v>37882.112949999995</v>
      </c>
      <c r="H65" s="194">
        <f t="shared" ref="H65:K65" si="19">H66</f>
        <v>36406.656389999996</v>
      </c>
      <c r="I65" s="109">
        <f t="shared" si="19"/>
        <v>34401.700000000004</v>
      </c>
      <c r="J65" s="109">
        <f t="shared" si="19"/>
        <v>34448.5</v>
      </c>
      <c r="K65" s="109">
        <f t="shared" si="19"/>
        <v>34448.5</v>
      </c>
      <c r="L65" s="39"/>
      <c r="M65" s="39"/>
    </row>
    <row r="66" spans="1:17" s="27" customFormat="1" ht="15" customHeight="1" x14ac:dyDescent="0.2">
      <c r="A66" s="327"/>
      <c r="B66" s="369"/>
      <c r="C66" s="370"/>
      <c r="D66" s="328" t="s">
        <v>92</v>
      </c>
      <c r="E66" s="337">
        <f>G66</f>
        <v>37882.112949999995</v>
      </c>
      <c r="F66" s="323">
        <f>SUM(G66:K67)</f>
        <v>177587.46934000001</v>
      </c>
      <c r="G66" s="323">
        <f>G68+G70+G72+G74+G76+G78+G80+G82+G84+G86+G88+G90+G92+G94+G102+G96+G98</f>
        <v>37882.112949999995</v>
      </c>
      <c r="H66" s="323">
        <f>H68+H70+H72+H74+H76+H78+H80+H82+H84+H86+H88+H90+H92+H94+H102+H96+H98+H100</f>
        <v>36406.656389999996</v>
      </c>
      <c r="I66" s="323">
        <f>I68+I70+I72+I74+I76+I78+I80+I82+I84+I86+I88+I90+I92+I94+I102</f>
        <v>34401.700000000004</v>
      </c>
      <c r="J66" s="323">
        <f>J68+J70+J72+J74+J76+J78+J80+J82+J84+J86+J88+J90+J92+J94+J102</f>
        <v>34448.5</v>
      </c>
      <c r="K66" s="323">
        <f>K68+K70+K72+K74+K76+K78+K80+K82+K84+K86+K88+K90+K92+K94+K102</f>
        <v>34448.5</v>
      </c>
      <c r="L66" s="324" t="s">
        <v>69</v>
      </c>
      <c r="M66" s="353"/>
    </row>
    <row r="67" spans="1:17" s="87" customFormat="1" ht="55.5" customHeight="1" x14ac:dyDescent="0.2">
      <c r="A67" s="327"/>
      <c r="B67" s="369"/>
      <c r="C67" s="370"/>
      <c r="D67" s="329"/>
      <c r="E67" s="338"/>
      <c r="F67" s="323"/>
      <c r="G67" s="323"/>
      <c r="H67" s="323"/>
      <c r="I67" s="323"/>
      <c r="J67" s="323"/>
      <c r="K67" s="323"/>
      <c r="L67" s="325"/>
      <c r="M67" s="353"/>
    </row>
    <row r="68" spans="1:17" s="87" customFormat="1" ht="15" customHeight="1" x14ac:dyDescent="0.2">
      <c r="A68" s="318" t="s">
        <v>32</v>
      </c>
      <c r="B68" s="319" t="s">
        <v>222</v>
      </c>
      <c r="C68" s="320" t="s">
        <v>104</v>
      </c>
      <c r="D68" s="90" t="s">
        <v>31</v>
      </c>
      <c r="E68" s="170">
        <f>SUM(E69:E69)</f>
        <v>25761.599999999999</v>
      </c>
      <c r="F68" s="170">
        <f>F69</f>
        <v>133829.58189</v>
      </c>
      <c r="G68" s="170">
        <f>G69</f>
        <v>25761.599999999999</v>
      </c>
      <c r="H68" s="195">
        <f>SUM(H69:H69)</f>
        <v>24731.581890000001</v>
      </c>
      <c r="I68" s="195">
        <f>I69</f>
        <v>27778.799999999999</v>
      </c>
      <c r="J68" s="195">
        <f>J69</f>
        <v>27778.799999999999</v>
      </c>
      <c r="K68" s="170">
        <f>K69</f>
        <v>27778.799999999999</v>
      </c>
      <c r="L68" s="314" t="s">
        <v>69</v>
      </c>
      <c r="M68" s="314" t="s">
        <v>188</v>
      </c>
      <c r="Q68" s="92">
        <f>36768.9-H65</f>
        <v>362.24361000000499</v>
      </c>
    </row>
    <row r="69" spans="1:17" s="87" customFormat="1" ht="102" customHeight="1" x14ac:dyDescent="0.2">
      <c r="A69" s="318"/>
      <c r="B69" s="319"/>
      <c r="C69" s="321"/>
      <c r="D69" s="88" t="s">
        <v>70</v>
      </c>
      <c r="E69" s="171">
        <f>G69</f>
        <v>25761.599999999999</v>
      </c>
      <c r="F69" s="171">
        <f t="shared" ref="F69:F82" si="20">SUM(G69:K69)</f>
        <v>133829.58189</v>
      </c>
      <c r="G69" s="171">
        <v>25761.599999999999</v>
      </c>
      <c r="H69" s="196">
        <f>24731581.89/1000</f>
        <v>24731.581890000001</v>
      </c>
      <c r="I69" s="196">
        <v>27778.799999999999</v>
      </c>
      <c r="J69" s="196">
        <v>27778.799999999999</v>
      </c>
      <c r="K69" s="171">
        <v>27778.799999999999</v>
      </c>
      <c r="L69" s="315"/>
      <c r="M69" s="316"/>
    </row>
    <row r="70" spans="1:17" s="87" customFormat="1" x14ac:dyDescent="0.2">
      <c r="A70" s="326" t="s">
        <v>33</v>
      </c>
      <c r="B70" s="319" t="s">
        <v>224</v>
      </c>
      <c r="C70" s="320" t="s">
        <v>104</v>
      </c>
      <c r="D70" s="90" t="s">
        <v>31</v>
      </c>
      <c r="E70" s="170">
        <v>0</v>
      </c>
      <c r="F70" s="170">
        <f t="shared" si="20"/>
        <v>6221.1</v>
      </c>
      <c r="G70" s="170">
        <f>G71</f>
        <v>1323.5</v>
      </c>
      <c r="H70" s="195">
        <f>H71</f>
        <v>1200.4000000000001</v>
      </c>
      <c r="I70" s="195">
        <f>I71</f>
        <v>1200.4000000000001</v>
      </c>
      <c r="J70" s="195">
        <f>J71</f>
        <v>1248.4000000000001</v>
      </c>
      <c r="K70" s="170">
        <f>K71</f>
        <v>1248.4000000000001</v>
      </c>
      <c r="L70" s="314" t="s">
        <v>69</v>
      </c>
      <c r="M70" s="314" t="s">
        <v>188</v>
      </c>
    </row>
    <row r="71" spans="1:17" s="87" customFormat="1" ht="99.75" customHeight="1" x14ac:dyDescent="0.2">
      <c r="A71" s="326"/>
      <c r="B71" s="319"/>
      <c r="C71" s="321"/>
      <c r="D71" s="88" t="s">
        <v>70</v>
      </c>
      <c r="E71" s="163">
        <f>G71</f>
        <v>1323.5</v>
      </c>
      <c r="F71" s="163">
        <f t="shared" si="20"/>
        <v>6221.1</v>
      </c>
      <c r="G71" s="163">
        <v>1323.5</v>
      </c>
      <c r="H71" s="228">
        <v>1200.4000000000001</v>
      </c>
      <c r="I71" s="173">
        <v>1200.4000000000001</v>
      </c>
      <c r="J71" s="173">
        <v>1248.4000000000001</v>
      </c>
      <c r="K71" s="163">
        <v>1248.4000000000001</v>
      </c>
      <c r="L71" s="315"/>
      <c r="M71" s="316"/>
    </row>
    <row r="72" spans="1:17" s="87" customFormat="1" x14ac:dyDescent="0.2">
      <c r="A72" s="326" t="s">
        <v>34</v>
      </c>
      <c r="B72" s="319" t="s">
        <v>225</v>
      </c>
      <c r="C72" s="320" t="s">
        <v>104</v>
      </c>
      <c r="D72" s="90" t="s">
        <v>31</v>
      </c>
      <c r="E72" s="170">
        <v>0</v>
      </c>
      <c r="F72" s="170">
        <f t="shared" si="20"/>
        <v>662.2</v>
      </c>
      <c r="G72" s="170">
        <f>G73</f>
        <v>304.10000000000002</v>
      </c>
      <c r="H72" s="195">
        <f>H73</f>
        <v>304.10000000000002</v>
      </c>
      <c r="I72" s="195">
        <f>I73</f>
        <v>18</v>
      </c>
      <c r="J72" s="195">
        <f>J73</f>
        <v>18</v>
      </c>
      <c r="K72" s="170">
        <f>K73</f>
        <v>18</v>
      </c>
      <c r="L72" s="314" t="s">
        <v>69</v>
      </c>
      <c r="M72" s="314" t="s">
        <v>188</v>
      </c>
    </row>
    <row r="73" spans="1:17" s="87" customFormat="1" ht="78" customHeight="1" x14ac:dyDescent="0.2">
      <c r="A73" s="326"/>
      <c r="B73" s="319"/>
      <c r="C73" s="321"/>
      <c r="D73" s="88" t="s">
        <v>70</v>
      </c>
      <c r="E73" s="163">
        <f>G73</f>
        <v>304.10000000000002</v>
      </c>
      <c r="F73" s="163">
        <f t="shared" si="20"/>
        <v>662.2</v>
      </c>
      <c r="G73" s="163">
        <v>304.10000000000002</v>
      </c>
      <c r="H73" s="228">
        <v>304.10000000000002</v>
      </c>
      <c r="I73" s="173">
        <v>18</v>
      </c>
      <c r="J73" s="173">
        <v>18</v>
      </c>
      <c r="K73" s="163">
        <v>18</v>
      </c>
      <c r="L73" s="315"/>
      <c r="M73" s="316"/>
    </row>
    <row r="74" spans="1:17" s="87" customFormat="1" x14ac:dyDescent="0.2">
      <c r="A74" s="326" t="s">
        <v>72</v>
      </c>
      <c r="B74" s="319" t="s">
        <v>226</v>
      </c>
      <c r="C74" s="320" t="s">
        <v>104</v>
      </c>
      <c r="D74" s="90" t="s">
        <v>31</v>
      </c>
      <c r="E74" s="170">
        <v>0</v>
      </c>
      <c r="F74" s="170">
        <f t="shared" si="20"/>
        <v>23024.36</v>
      </c>
      <c r="G74" s="170">
        <f>G75</f>
        <v>4820.3599999999997</v>
      </c>
      <c r="H74" s="195">
        <f>H75</f>
        <v>4944.6000000000004</v>
      </c>
      <c r="I74" s="195">
        <f>I75</f>
        <v>4420.6000000000004</v>
      </c>
      <c r="J74" s="195">
        <f>J75</f>
        <v>4419.3999999999996</v>
      </c>
      <c r="K74" s="170">
        <f>K75</f>
        <v>4419.3999999999996</v>
      </c>
      <c r="L74" s="314" t="s">
        <v>69</v>
      </c>
      <c r="M74" s="314" t="s">
        <v>168</v>
      </c>
    </row>
    <row r="75" spans="1:17" s="87" customFormat="1" ht="107.25" customHeight="1" x14ac:dyDescent="0.2">
      <c r="A75" s="326"/>
      <c r="B75" s="319"/>
      <c r="C75" s="321"/>
      <c r="D75" s="88" t="s">
        <v>70</v>
      </c>
      <c r="E75" s="163">
        <f>G75</f>
        <v>4820.3599999999997</v>
      </c>
      <c r="F75" s="163">
        <f t="shared" si="20"/>
        <v>23024.36</v>
      </c>
      <c r="G75" s="163">
        <f>4820360/1000</f>
        <v>4820.3599999999997</v>
      </c>
      <c r="H75" s="228">
        <v>4944.6000000000004</v>
      </c>
      <c r="I75" s="173">
        <v>4420.6000000000004</v>
      </c>
      <c r="J75" s="173">
        <v>4419.3999999999996</v>
      </c>
      <c r="K75" s="163">
        <v>4419.3999999999996</v>
      </c>
      <c r="L75" s="315"/>
      <c r="M75" s="316"/>
    </row>
    <row r="76" spans="1:17" s="87" customFormat="1" x14ac:dyDescent="0.2">
      <c r="A76" s="326" t="s">
        <v>73</v>
      </c>
      <c r="B76" s="319" t="s">
        <v>227</v>
      </c>
      <c r="C76" s="320" t="s">
        <v>104</v>
      </c>
      <c r="D76" s="90" t="s">
        <v>31</v>
      </c>
      <c r="E76" s="170">
        <v>0</v>
      </c>
      <c r="F76" s="170">
        <f t="shared" si="20"/>
        <v>1399.1</v>
      </c>
      <c r="G76" s="170">
        <f>G77</f>
        <v>924.5</v>
      </c>
      <c r="H76" s="195">
        <f>H77</f>
        <v>429.6</v>
      </c>
      <c r="I76" s="195">
        <f>I77</f>
        <v>15</v>
      </c>
      <c r="J76" s="195">
        <f>J77</f>
        <v>15</v>
      </c>
      <c r="K76" s="170">
        <f>K77</f>
        <v>15</v>
      </c>
      <c r="L76" s="314" t="s">
        <v>69</v>
      </c>
      <c r="M76" s="314" t="s">
        <v>168</v>
      </c>
    </row>
    <row r="77" spans="1:17" s="87" customFormat="1" ht="93" customHeight="1" x14ac:dyDescent="0.2">
      <c r="A77" s="326"/>
      <c r="B77" s="319"/>
      <c r="C77" s="321"/>
      <c r="D77" s="88" t="s">
        <v>70</v>
      </c>
      <c r="E77" s="163">
        <f>G77</f>
        <v>924.5</v>
      </c>
      <c r="F77" s="163">
        <f t="shared" si="20"/>
        <v>1399.1</v>
      </c>
      <c r="G77" s="163">
        <f>924500/1000</f>
        <v>924.5</v>
      </c>
      <c r="H77" s="228">
        <v>429.6</v>
      </c>
      <c r="I77" s="173">
        <v>15</v>
      </c>
      <c r="J77" s="173">
        <v>15</v>
      </c>
      <c r="K77" s="163">
        <v>15</v>
      </c>
      <c r="L77" s="315"/>
      <c r="M77" s="316"/>
    </row>
    <row r="78" spans="1:17" s="87" customFormat="1" ht="15.75" customHeight="1" x14ac:dyDescent="0.2">
      <c r="A78" s="326" t="s">
        <v>74</v>
      </c>
      <c r="B78" s="319" t="s">
        <v>228</v>
      </c>
      <c r="C78" s="320" t="s">
        <v>104</v>
      </c>
      <c r="D78" s="90" t="s">
        <v>31</v>
      </c>
      <c r="E78" s="164">
        <v>0</v>
      </c>
      <c r="F78" s="164">
        <f t="shared" si="20"/>
        <v>35</v>
      </c>
      <c r="G78" s="164">
        <f>G79</f>
        <v>25</v>
      </c>
      <c r="H78" s="194">
        <f>H79</f>
        <v>10</v>
      </c>
      <c r="I78" s="109">
        <f>I79</f>
        <v>0</v>
      </c>
      <c r="J78" s="109">
        <f>J79</f>
        <v>0</v>
      </c>
      <c r="K78" s="164">
        <f>K79</f>
        <v>0</v>
      </c>
      <c r="L78" s="314" t="s">
        <v>69</v>
      </c>
      <c r="M78" s="314" t="s">
        <v>171</v>
      </c>
    </row>
    <row r="79" spans="1:17" s="87" customFormat="1" ht="62.25" customHeight="1" x14ac:dyDescent="0.2">
      <c r="A79" s="326"/>
      <c r="B79" s="319"/>
      <c r="C79" s="321"/>
      <c r="D79" s="88" t="s">
        <v>70</v>
      </c>
      <c r="E79" s="163">
        <v>0</v>
      </c>
      <c r="F79" s="163">
        <f t="shared" si="20"/>
        <v>35</v>
      </c>
      <c r="G79" s="163">
        <v>25</v>
      </c>
      <c r="H79" s="228">
        <v>10</v>
      </c>
      <c r="I79" s="173">
        <v>0</v>
      </c>
      <c r="J79" s="173">
        <v>0</v>
      </c>
      <c r="K79" s="163">
        <v>0</v>
      </c>
      <c r="L79" s="315"/>
      <c r="M79" s="316"/>
    </row>
    <row r="80" spans="1:17" s="87" customFormat="1" ht="15.75" customHeight="1" x14ac:dyDescent="0.2">
      <c r="A80" s="326" t="s">
        <v>75</v>
      </c>
      <c r="B80" s="319" t="s">
        <v>229</v>
      </c>
      <c r="C80" s="311" t="s">
        <v>104</v>
      </c>
      <c r="D80" s="90" t="s">
        <v>31</v>
      </c>
      <c r="E80" s="164">
        <v>0</v>
      </c>
      <c r="F80" s="164">
        <f t="shared" si="20"/>
        <v>220.5</v>
      </c>
      <c r="G80" s="164">
        <f>G81</f>
        <v>29.5</v>
      </c>
      <c r="H80" s="194">
        <f>H81</f>
        <v>35</v>
      </c>
      <c r="I80" s="109">
        <f>I81</f>
        <v>52</v>
      </c>
      <c r="J80" s="109">
        <f>J81</f>
        <v>52</v>
      </c>
      <c r="K80" s="164">
        <f>K81</f>
        <v>52</v>
      </c>
      <c r="L80" s="314" t="s">
        <v>69</v>
      </c>
      <c r="M80" s="314" t="s">
        <v>189</v>
      </c>
    </row>
    <row r="81" spans="1:13" s="87" customFormat="1" ht="48" customHeight="1" x14ac:dyDescent="0.2">
      <c r="A81" s="326"/>
      <c r="B81" s="319"/>
      <c r="C81" s="313"/>
      <c r="D81" s="88" t="s">
        <v>70</v>
      </c>
      <c r="E81" s="163">
        <f>G81</f>
        <v>29.5</v>
      </c>
      <c r="F81" s="163">
        <f>SUM(G81:K81)</f>
        <v>220.5</v>
      </c>
      <c r="G81" s="163">
        <f>29500/1000</f>
        <v>29.5</v>
      </c>
      <c r="H81" s="228">
        <v>35</v>
      </c>
      <c r="I81" s="173">
        <v>52</v>
      </c>
      <c r="J81" s="173">
        <v>52</v>
      </c>
      <c r="K81" s="163">
        <v>52</v>
      </c>
      <c r="L81" s="315"/>
      <c r="M81" s="316"/>
    </row>
    <row r="82" spans="1:13" s="87" customFormat="1" ht="15.75" customHeight="1" x14ac:dyDescent="0.2">
      <c r="A82" s="326" t="s">
        <v>108</v>
      </c>
      <c r="B82" s="319" t="s">
        <v>230</v>
      </c>
      <c r="C82" s="320" t="s">
        <v>104</v>
      </c>
      <c r="D82" s="90" t="s">
        <v>31</v>
      </c>
      <c r="E82" s="164">
        <v>0</v>
      </c>
      <c r="F82" s="164">
        <f t="shared" si="20"/>
        <v>236</v>
      </c>
      <c r="G82" s="164">
        <f>G83</f>
        <v>80</v>
      </c>
      <c r="H82" s="194">
        <f>H83</f>
        <v>66</v>
      </c>
      <c r="I82" s="109">
        <f>I83</f>
        <v>30</v>
      </c>
      <c r="J82" s="109">
        <f>J83</f>
        <v>30</v>
      </c>
      <c r="K82" s="164">
        <f>K83</f>
        <v>30</v>
      </c>
      <c r="L82" s="314" t="s">
        <v>69</v>
      </c>
      <c r="M82" s="314" t="s">
        <v>172</v>
      </c>
    </row>
    <row r="83" spans="1:13" s="87" customFormat="1" ht="87.75" customHeight="1" x14ac:dyDescent="0.2">
      <c r="A83" s="326"/>
      <c r="B83" s="319"/>
      <c r="C83" s="321"/>
      <c r="D83" s="88" t="s">
        <v>70</v>
      </c>
      <c r="E83" s="163">
        <f>G83</f>
        <v>80</v>
      </c>
      <c r="F83" s="163">
        <f t="shared" ref="F83:F104" si="21">SUM(G83:K83)</f>
        <v>236</v>
      </c>
      <c r="G83" s="163">
        <v>80</v>
      </c>
      <c r="H83" s="228">
        <v>66</v>
      </c>
      <c r="I83" s="173">
        <v>30</v>
      </c>
      <c r="J83" s="173">
        <v>30</v>
      </c>
      <c r="K83" s="163">
        <v>30</v>
      </c>
      <c r="L83" s="315"/>
      <c r="M83" s="316"/>
    </row>
    <row r="84" spans="1:13" s="87" customFormat="1" ht="15.75" customHeight="1" x14ac:dyDescent="0.2">
      <c r="A84" s="326" t="s">
        <v>109</v>
      </c>
      <c r="B84" s="319" t="s">
        <v>231</v>
      </c>
      <c r="C84" s="320" t="s">
        <v>104</v>
      </c>
      <c r="D84" s="90" t="s">
        <v>31</v>
      </c>
      <c r="E84" s="164">
        <v>0</v>
      </c>
      <c r="F84" s="164">
        <f t="shared" si="21"/>
        <v>1689.2350000000001</v>
      </c>
      <c r="G84" s="164">
        <f>G85</f>
        <v>1077.8679999999999</v>
      </c>
      <c r="H84" s="194">
        <f>H85</f>
        <v>350.66699999999997</v>
      </c>
      <c r="I84" s="109">
        <f>I85</f>
        <v>86.9</v>
      </c>
      <c r="J84" s="109">
        <f>J85</f>
        <v>86.9</v>
      </c>
      <c r="K84" s="164">
        <f>K85</f>
        <v>86.9</v>
      </c>
      <c r="L84" s="314" t="s">
        <v>69</v>
      </c>
      <c r="M84" s="314" t="s">
        <v>177</v>
      </c>
    </row>
    <row r="85" spans="1:13" s="87" customFormat="1" ht="61.5" customHeight="1" x14ac:dyDescent="0.2">
      <c r="A85" s="326"/>
      <c r="B85" s="319"/>
      <c r="C85" s="321"/>
      <c r="D85" s="88" t="s">
        <v>70</v>
      </c>
      <c r="E85" s="163">
        <f>G85</f>
        <v>1077.8679999999999</v>
      </c>
      <c r="F85" s="163">
        <f t="shared" si="21"/>
        <v>1689.2350000000001</v>
      </c>
      <c r="G85" s="163">
        <f>(787500+221368+69000)/1000</f>
        <v>1077.8679999999999</v>
      </c>
      <c r="H85" s="228">
        <f>350667/1000</f>
        <v>350.66699999999997</v>
      </c>
      <c r="I85" s="173">
        <v>86.9</v>
      </c>
      <c r="J85" s="173">
        <v>86.9</v>
      </c>
      <c r="K85" s="163">
        <v>86.9</v>
      </c>
      <c r="L85" s="316"/>
      <c r="M85" s="316"/>
    </row>
    <row r="86" spans="1:13" s="87" customFormat="1" ht="15.75" x14ac:dyDescent="0.2">
      <c r="A86" s="326" t="s">
        <v>142</v>
      </c>
      <c r="B86" s="319" t="s">
        <v>233</v>
      </c>
      <c r="C86" s="320" t="s">
        <v>104</v>
      </c>
      <c r="D86" s="90" t="s">
        <v>31</v>
      </c>
      <c r="E86" s="164">
        <f>E87</f>
        <v>284.01367999999997</v>
      </c>
      <c r="F86" s="164">
        <f t="shared" si="21"/>
        <v>2183.6136799999999</v>
      </c>
      <c r="G86" s="164">
        <f>G87</f>
        <v>284.01367999999997</v>
      </c>
      <c r="H86" s="194">
        <f>H87</f>
        <v>999.6</v>
      </c>
      <c r="I86" s="109">
        <f>I87</f>
        <v>300</v>
      </c>
      <c r="J86" s="109">
        <f>J87</f>
        <v>300</v>
      </c>
      <c r="K86" s="164">
        <f t="shared" ref="K86:K102" si="22">K87</f>
        <v>300</v>
      </c>
      <c r="L86" s="330" t="s">
        <v>69</v>
      </c>
      <c r="M86" s="314" t="s">
        <v>173</v>
      </c>
    </row>
    <row r="87" spans="1:13" s="87" customFormat="1" ht="105.75" customHeight="1" x14ac:dyDescent="0.2">
      <c r="A87" s="326"/>
      <c r="B87" s="319"/>
      <c r="C87" s="321"/>
      <c r="D87" s="88" t="s">
        <v>70</v>
      </c>
      <c r="E87" s="163">
        <f>G87</f>
        <v>284.01367999999997</v>
      </c>
      <c r="F87" s="163">
        <f t="shared" si="21"/>
        <v>2183.6136799999999</v>
      </c>
      <c r="G87" s="163">
        <f>284013.68/1000</f>
        <v>284.01367999999997</v>
      </c>
      <c r="H87" s="228">
        <f>999600/1000</f>
        <v>999.6</v>
      </c>
      <c r="I87" s="173">
        <v>300</v>
      </c>
      <c r="J87" s="173">
        <v>300</v>
      </c>
      <c r="K87" s="163">
        <v>300</v>
      </c>
      <c r="L87" s="331"/>
      <c r="M87" s="315"/>
    </row>
    <row r="88" spans="1:13" s="87" customFormat="1" ht="18.75" customHeight="1" x14ac:dyDescent="0.2">
      <c r="A88" s="326" t="s">
        <v>143</v>
      </c>
      <c r="B88" s="319" t="s">
        <v>234</v>
      </c>
      <c r="C88" s="320" t="s">
        <v>104</v>
      </c>
      <c r="D88" s="90" t="s">
        <v>31</v>
      </c>
      <c r="E88" s="164">
        <f>E89</f>
        <v>180.6</v>
      </c>
      <c r="F88" s="164">
        <f t="shared" si="21"/>
        <v>4049.5329999999999</v>
      </c>
      <c r="G88" s="164">
        <f>G89</f>
        <v>180.6</v>
      </c>
      <c r="H88" s="194">
        <f>H89</f>
        <v>2968.933</v>
      </c>
      <c r="I88" s="109">
        <f>I89</f>
        <v>300</v>
      </c>
      <c r="J88" s="109">
        <f>J89</f>
        <v>300</v>
      </c>
      <c r="K88" s="164">
        <f t="shared" si="22"/>
        <v>300</v>
      </c>
      <c r="L88" s="330" t="s">
        <v>69</v>
      </c>
      <c r="M88" s="314" t="s">
        <v>174</v>
      </c>
    </row>
    <row r="89" spans="1:13" s="87" customFormat="1" ht="56.25" customHeight="1" x14ac:dyDescent="0.2">
      <c r="A89" s="326"/>
      <c r="B89" s="319"/>
      <c r="C89" s="321"/>
      <c r="D89" s="88" t="s">
        <v>70</v>
      </c>
      <c r="E89" s="163">
        <f>G89</f>
        <v>180.6</v>
      </c>
      <c r="F89" s="163">
        <f t="shared" si="21"/>
        <v>4049.5329999999999</v>
      </c>
      <c r="G89" s="163">
        <f>180600/1000</f>
        <v>180.6</v>
      </c>
      <c r="H89" s="228">
        <f>2968933/1000</f>
        <v>2968.933</v>
      </c>
      <c r="I89" s="173">
        <v>300</v>
      </c>
      <c r="J89" s="173">
        <v>300</v>
      </c>
      <c r="K89" s="163">
        <v>300</v>
      </c>
      <c r="L89" s="331"/>
      <c r="M89" s="315"/>
    </row>
    <row r="90" spans="1:13" s="87" customFormat="1" ht="18.75" customHeight="1" x14ac:dyDescent="0.2">
      <c r="A90" s="326" t="s">
        <v>144</v>
      </c>
      <c r="B90" s="372" t="s">
        <v>235</v>
      </c>
      <c r="C90" s="320" t="s">
        <v>104</v>
      </c>
      <c r="D90" s="90" t="s">
        <v>31</v>
      </c>
      <c r="E90" s="164">
        <f>E91</f>
        <v>180</v>
      </c>
      <c r="F90" s="164">
        <f t="shared" si="21"/>
        <v>976.17449999999997</v>
      </c>
      <c r="G90" s="164">
        <f>G91</f>
        <v>180</v>
      </c>
      <c r="H90" s="194">
        <f>H91</f>
        <v>196.17449999999999</v>
      </c>
      <c r="I90" s="109">
        <f>I91</f>
        <v>200</v>
      </c>
      <c r="J90" s="109">
        <f>J91</f>
        <v>200</v>
      </c>
      <c r="K90" s="164">
        <f t="shared" si="22"/>
        <v>200</v>
      </c>
      <c r="L90" s="333" t="s">
        <v>69</v>
      </c>
      <c r="M90" s="314" t="s">
        <v>184</v>
      </c>
    </row>
    <row r="91" spans="1:13" s="87" customFormat="1" ht="75.75" customHeight="1" x14ac:dyDescent="0.2">
      <c r="A91" s="326"/>
      <c r="B91" s="351"/>
      <c r="C91" s="321"/>
      <c r="D91" s="88" t="s">
        <v>70</v>
      </c>
      <c r="E91" s="163">
        <f>G91</f>
        <v>180</v>
      </c>
      <c r="F91" s="163">
        <f t="shared" si="21"/>
        <v>976.17449999999997</v>
      </c>
      <c r="G91" s="163">
        <f>180000/1000</f>
        <v>180</v>
      </c>
      <c r="H91" s="228">
        <f>196174.5/1000</f>
        <v>196.17449999999999</v>
      </c>
      <c r="I91" s="173">
        <v>200</v>
      </c>
      <c r="J91" s="173">
        <v>200</v>
      </c>
      <c r="K91" s="163">
        <v>200</v>
      </c>
      <c r="L91" s="333"/>
      <c r="M91" s="316"/>
    </row>
    <row r="92" spans="1:13" s="87" customFormat="1" ht="18.75" customHeight="1" x14ac:dyDescent="0.2">
      <c r="A92" s="305" t="s">
        <v>145</v>
      </c>
      <c r="B92" s="372" t="s">
        <v>199</v>
      </c>
      <c r="C92" s="320" t="s">
        <v>104</v>
      </c>
      <c r="D92" s="90" t="s">
        <v>31</v>
      </c>
      <c r="E92" s="164">
        <f>E93</f>
        <v>291.44900000000001</v>
      </c>
      <c r="F92" s="164">
        <f t="shared" si="21"/>
        <v>291.44900000000001</v>
      </c>
      <c r="G92" s="164">
        <f>G93</f>
        <v>291.44900000000001</v>
      </c>
      <c r="H92" s="194">
        <f>H93</f>
        <v>0</v>
      </c>
      <c r="I92" s="109">
        <f>I93</f>
        <v>0</v>
      </c>
      <c r="J92" s="109">
        <f>J93</f>
        <v>0</v>
      </c>
      <c r="K92" s="164">
        <f t="shared" si="22"/>
        <v>0</v>
      </c>
      <c r="L92" s="333" t="s">
        <v>69</v>
      </c>
      <c r="M92" s="314" t="s">
        <v>208</v>
      </c>
    </row>
    <row r="93" spans="1:13" s="87" customFormat="1" ht="49.5" customHeight="1" x14ac:dyDescent="0.2">
      <c r="A93" s="307"/>
      <c r="B93" s="351"/>
      <c r="C93" s="321"/>
      <c r="D93" s="88" t="s">
        <v>70</v>
      </c>
      <c r="E93" s="163">
        <f>G93</f>
        <v>291.44900000000001</v>
      </c>
      <c r="F93" s="163">
        <f t="shared" si="21"/>
        <v>291.44900000000001</v>
      </c>
      <c r="G93" s="163">
        <f>291449/1000</f>
        <v>291.44900000000001</v>
      </c>
      <c r="H93" s="228">
        <v>0</v>
      </c>
      <c r="I93" s="173">
        <v>0</v>
      </c>
      <c r="J93" s="173">
        <v>0</v>
      </c>
      <c r="K93" s="163">
        <v>0</v>
      </c>
      <c r="L93" s="333"/>
      <c r="M93" s="316"/>
    </row>
    <row r="94" spans="1:13" s="87" customFormat="1" ht="18.75" customHeight="1" x14ac:dyDescent="0.2">
      <c r="A94" s="305" t="s">
        <v>146</v>
      </c>
      <c r="B94" s="372" t="s">
        <v>201</v>
      </c>
      <c r="C94" s="320" t="s">
        <v>104</v>
      </c>
      <c r="D94" s="90" t="s">
        <v>31</v>
      </c>
      <c r="E94" s="164">
        <f>E95</f>
        <v>10.032</v>
      </c>
      <c r="F94" s="164">
        <f t="shared" si="21"/>
        <v>150.03200000000001</v>
      </c>
      <c r="G94" s="164">
        <f>G95</f>
        <v>10.032</v>
      </c>
      <c r="H94" s="194">
        <f>H95</f>
        <v>140</v>
      </c>
      <c r="I94" s="109">
        <f>I95</f>
        <v>0</v>
      </c>
      <c r="J94" s="109">
        <f>J95</f>
        <v>0</v>
      </c>
      <c r="K94" s="164">
        <f t="shared" si="22"/>
        <v>0</v>
      </c>
      <c r="L94" s="333" t="s">
        <v>69</v>
      </c>
      <c r="M94" s="314" t="s">
        <v>209</v>
      </c>
    </row>
    <row r="95" spans="1:13" s="87" customFormat="1" ht="70.5" customHeight="1" x14ac:dyDescent="0.2">
      <c r="A95" s="307"/>
      <c r="B95" s="351"/>
      <c r="C95" s="321"/>
      <c r="D95" s="88" t="s">
        <v>70</v>
      </c>
      <c r="E95" s="163">
        <f>G95</f>
        <v>10.032</v>
      </c>
      <c r="F95" s="163">
        <f t="shared" si="21"/>
        <v>150.03200000000001</v>
      </c>
      <c r="G95" s="163">
        <f>10032/1000</f>
        <v>10.032</v>
      </c>
      <c r="H95" s="228">
        <f>140000/1000</f>
        <v>140</v>
      </c>
      <c r="I95" s="173">
        <v>0</v>
      </c>
      <c r="J95" s="173">
        <v>0</v>
      </c>
      <c r="K95" s="163">
        <v>0</v>
      </c>
      <c r="L95" s="333"/>
      <c r="M95" s="316"/>
    </row>
    <row r="96" spans="1:13" s="87" customFormat="1" ht="18.75" customHeight="1" x14ac:dyDescent="0.2">
      <c r="A96" s="305" t="s">
        <v>147</v>
      </c>
      <c r="B96" s="372" t="s">
        <v>202</v>
      </c>
      <c r="C96" s="320" t="s">
        <v>104</v>
      </c>
      <c r="D96" s="90" t="s">
        <v>31</v>
      </c>
      <c r="E96" s="164">
        <f>E97</f>
        <v>90</v>
      </c>
      <c r="F96" s="164">
        <f t="shared" ref="F96:F97" si="23">SUM(G96:K96)</f>
        <v>90</v>
      </c>
      <c r="G96" s="164">
        <f>G97</f>
        <v>90</v>
      </c>
      <c r="H96" s="194">
        <f>H97</f>
        <v>0</v>
      </c>
      <c r="I96" s="109">
        <f>I97</f>
        <v>0</v>
      </c>
      <c r="J96" s="109">
        <f>J97</f>
        <v>0</v>
      </c>
      <c r="K96" s="164">
        <f t="shared" si="22"/>
        <v>0</v>
      </c>
      <c r="L96" s="333" t="s">
        <v>69</v>
      </c>
      <c r="M96" s="314" t="s">
        <v>210</v>
      </c>
    </row>
    <row r="97" spans="1:18" s="87" customFormat="1" ht="75" customHeight="1" x14ac:dyDescent="0.2">
      <c r="A97" s="307"/>
      <c r="B97" s="351"/>
      <c r="C97" s="321"/>
      <c r="D97" s="99" t="s">
        <v>70</v>
      </c>
      <c r="E97" s="163">
        <f>G97</f>
        <v>90</v>
      </c>
      <c r="F97" s="163">
        <f t="shared" si="23"/>
        <v>90</v>
      </c>
      <c r="G97" s="163">
        <v>90</v>
      </c>
      <c r="H97" s="228">
        <v>0</v>
      </c>
      <c r="I97" s="173">
        <v>0</v>
      </c>
      <c r="J97" s="173">
        <v>0</v>
      </c>
      <c r="K97" s="163">
        <v>0</v>
      </c>
      <c r="L97" s="333"/>
      <c r="M97" s="316"/>
    </row>
    <row r="98" spans="1:18" s="87" customFormat="1" ht="18.75" customHeight="1" x14ac:dyDescent="0.2">
      <c r="A98" s="373" t="s">
        <v>213</v>
      </c>
      <c r="B98" s="308" t="s">
        <v>284</v>
      </c>
      <c r="C98" s="375" t="s">
        <v>104</v>
      </c>
      <c r="D98" s="90" t="s">
        <v>31</v>
      </c>
      <c r="E98" s="164">
        <f>E99</f>
        <v>2499.5902700000001</v>
      </c>
      <c r="F98" s="164">
        <f t="shared" ref="F98:F99" si="24">SUM(G98:K98)</f>
        <v>2499.5902700000001</v>
      </c>
      <c r="G98" s="164">
        <f>G99</f>
        <v>2499.5902700000001</v>
      </c>
      <c r="H98" s="194">
        <f>H99</f>
        <v>0</v>
      </c>
      <c r="I98" s="109">
        <f>I99</f>
        <v>0</v>
      </c>
      <c r="J98" s="109">
        <f>J99</f>
        <v>0</v>
      </c>
      <c r="K98" s="164">
        <f t="shared" si="22"/>
        <v>0</v>
      </c>
      <c r="L98" s="333" t="s">
        <v>69</v>
      </c>
      <c r="M98" s="314" t="s">
        <v>290</v>
      </c>
    </row>
    <row r="99" spans="1:18" s="87" customFormat="1" ht="75" customHeight="1" x14ac:dyDescent="0.2">
      <c r="A99" s="374"/>
      <c r="B99" s="310"/>
      <c r="C99" s="376"/>
      <c r="D99" s="145" t="s">
        <v>70</v>
      </c>
      <c r="E99" s="163">
        <f>G99</f>
        <v>2499.5902700000001</v>
      </c>
      <c r="F99" s="163">
        <f t="shared" si="24"/>
        <v>2499.5902700000001</v>
      </c>
      <c r="G99" s="163">
        <f>2499590.27/1000</f>
        <v>2499.5902700000001</v>
      </c>
      <c r="H99" s="228">
        <v>0</v>
      </c>
      <c r="I99" s="173">
        <v>0</v>
      </c>
      <c r="J99" s="173">
        <v>0</v>
      </c>
      <c r="K99" s="163">
        <v>0</v>
      </c>
      <c r="L99" s="333"/>
      <c r="M99" s="316"/>
    </row>
    <row r="100" spans="1:18" s="87" customFormat="1" ht="18.75" customHeight="1" x14ac:dyDescent="0.2">
      <c r="A100" s="373" t="s">
        <v>301</v>
      </c>
      <c r="B100" s="308" t="s">
        <v>381</v>
      </c>
      <c r="C100" s="375" t="s">
        <v>104</v>
      </c>
      <c r="D100" s="90" t="s">
        <v>31</v>
      </c>
      <c r="E100" s="175">
        <f>E101</f>
        <v>0</v>
      </c>
      <c r="F100" s="175">
        <f t="shared" ref="F100:F101" si="25">SUM(G100:K100)</f>
        <v>30</v>
      </c>
      <c r="G100" s="175">
        <f>G101</f>
        <v>0</v>
      </c>
      <c r="H100" s="194">
        <f>H101</f>
        <v>30</v>
      </c>
      <c r="I100" s="109">
        <f>I101</f>
        <v>0</v>
      </c>
      <c r="J100" s="109">
        <f>J101</f>
        <v>0</v>
      </c>
      <c r="K100" s="175">
        <f t="shared" si="22"/>
        <v>0</v>
      </c>
      <c r="L100" s="333" t="s">
        <v>69</v>
      </c>
      <c r="M100" s="314" t="s">
        <v>187</v>
      </c>
    </row>
    <row r="101" spans="1:18" s="87" customFormat="1" ht="96" customHeight="1" x14ac:dyDescent="0.2">
      <c r="A101" s="374"/>
      <c r="B101" s="310"/>
      <c r="C101" s="376"/>
      <c r="D101" s="160" t="s">
        <v>70</v>
      </c>
      <c r="E101" s="176">
        <f>G101</f>
        <v>0</v>
      </c>
      <c r="F101" s="176">
        <f t="shared" si="25"/>
        <v>30</v>
      </c>
      <c r="G101" s="176">
        <v>0</v>
      </c>
      <c r="H101" s="228">
        <v>30</v>
      </c>
      <c r="I101" s="173">
        <v>0</v>
      </c>
      <c r="J101" s="173">
        <v>0</v>
      </c>
      <c r="K101" s="176">
        <v>0</v>
      </c>
      <c r="L101" s="333"/>
      <c r="M101" s="316"/>
    </row>
    <row r="102" spans="1:18" s="87" customFormat="1" ht="18.75" customHeight="1" x14ac:dyDescent="0.2">
      <c r="A102" s="373" t="s">
        <v>305</v>
      </c>
      <c r="B102" s="308" t="s">
        <v>388</v>
      </c>
      <c r="C102" s="375" t="s">
        <v>104</v>
      </c>
      <c r="D102" s="90" t="s">
        <v>31</v>
      </c>
      <c r="E102" s="164">
        <f>E103</f>
        <v>0</v>
      </c>
      <c r="F102" s="164">
        <f t="shared" si="21"/>
        <v>0</v>
      </c>
      <c r="G102" s="164">
        <f>G103</f>
        <v>0</v>
      </c>
      <c r="H102" s="194">
        <f>H103</f>
        <v>0</v>
      </c>
      <c r="I102" s="109">
        <f>I103</f>
        <v>0</v>
      </c>
      <c r="J102" s="109">
        <f>J103</f>
        <v>0</v>
      </c>
      <c r="K102" s="164">
        <f t="shared" si="22"/>
        <v>0</v>
      </c>
      <c r="L102" s="333" t="s">
        <v>69</v>
      </c>
      <c r="M102" s="314" t="s">
        <v>383</v>
      </c>
    </row>
    <row r="103" spans="1:18" s="87" customFormat="1" ht="112.5" customHeight="1" x14ac:dyDescent="0.2">
      <c r="A103" s="374"/>
      <c r="B103" s="310"/>
      <c r="C103" s="376"/>
      <c r="D103" s="88" t="s">
        <v>70</v>
      </c>
      <c r="E103" s="163">
        <f>G103</f>
        <v>0</v>
      </c>
      <c r="F103" s="163">
        <f t="shared" si="21"/>
        <v>0</v>
      </c>
      <c r="G103" s="163">
        <v>0</v>
      </c>
      <c r="H103" s="228">
        <v>0</v>
      </c>
      <c r="I103" s="173">
        <v>0</v>
      </c>
      <c r="J103" s="173">
        <v>0</v>
      </c>
      <c r="K103" s="163">
        <v>0</v>
      </c>
      <c r="L103" s="333"/>
      <c r="M103" s="316"/>
    </row>
    <row r="104" spans="1:18" ht="19.5" customHeight="1" x14ac:dyDescent="0.2">
      <c r="A104" s="235" t="s">
        <v>35</v>
      </c>
      <c r="B104" s="235"/>
      <c r="C104" s="235"/>
      <c r="D104" s="38" t="s">
        <v>36</v>
      </c>
      <c r="E104" s="172">
        <f>E105+E107</f>
        <v>37882.112949999995</v>
      </c>
      <c r="F104" s="172">
        <f t="shared" si="21"/>
        <v>177587.46934000001</v>
      </c>
      <c r="G104" s="172">
        <f>G105+G107</f>
        <v>37882.112949999995</v>
      </c>
      <c r="H104" s="194">
        <f>H105+H107</f>
        <v>36406.656389999996</v>
      </c>
      <c r="I104" s="109">
        <f t="shared" ref="I104:K104" si="26">I105+I107</f>
        <v>34401.700000000004</v>
      </c>
      <c r="J104" s="109">
        <f t="shared" si="26"/>
        <v>34448.5</v>
      </c>
      <c r="K104" s="172">
        <f t="shared" si="26"/>
        <v>34448.5</v>
      </c>
      <c r="L104" s="37"/>
      <c r="M104" s="37"/>
    </row>
    <row r="105" spans="1:18" ht="15" customHeight="1" x14ac:dyDescent="0.2">
      <c r="A105" s="235"/>
      <c r="B105" s="235"/>
      <c r="C105" s="235"/>
      <c r="D105" s="339" t="s">
        <v>110</v>
      </c>
      <c r="E105" s="322">
        <f>G105</f>
        <v>37882.112949999995</v>
      </c>
      <c r="F105" s="322">
        <f>SUM(G105:K106)</f>
        <v>177587.46934000001</v>
      </c>
      <c r="G105" s="342">
        <f>G66</f>
        <v>37882.112949999995</v>
      </c>
      <c r="H105" s="488">
        <f>H66</f>
        <v>36406.656389999996</v>
      </c>
      <c r="I105" s="342">
        <f>I66</f>
        <v>34401.700000000004</v>
      </c>
      <c r="J105" s="342">
        <f>J66</f>
        <v>34448.5</v>
      </c>
      <c r="K105" s="342">
        <f>K66</f>
        <v>34448.5</v>
      </c>
      <c r="L105" s="341"/>
      <c r="M105" s="341"/>
    </row>
    <row r="106" spans="1:18" ht="50.25" customHeight="1" x14ac:dyDescent="0.2">
      <c r="A106" s="235"/>
      <c r="B106" s="235"/>
      <c r="C106" s="235"/>
      <c r="D106" s="340"/>
      <c r="E106" s="322"/>
      <c r="F106" s="322"/>
      <c r="G106" s="343"/>
      <c r="H106" s="489"/>
      <c r="I106" s="343"/>
      <c r="J106" s="343"/>
      <c r="K106" s="343"/>
      <c r="L106" s="341"/>
      <c r="M106" s="341"/>
    </row>
    <row r="107" spans="1:18" ht="51" x14ac:dyDescent="0.2">
      <c r="A107" s="235"/>
      <c r="B107" s="235"/>
      <c r="C107" s="235"/>
      <c r="D107" s="25" t="s">
        <v>45</v>
      </c>
      <c r="E107" s="168">
        <f>I107</f>
        <v>0</v>
      </c>
      <c r="F107" s="168">
        <f>SUM(G107:K107)</f>
        <v>0</v>
      </c>
      <c r="G107" s="168">
        <v>0</v>
      </c>
      <c r="H107" s="194">
        <v>0</v>
      </c>
      <c r="I107" s="168">
        <v>0</v>
      </c>
      <c r="J107" s="168">
        <v>0</v>
      </c>
      <c r="K107" s="168">
        <v>0</v>
      </c>
      <c r="L107" s="40"/>
      <c r="M107" s="40"/>
    </row>
    <row r="108" spans="1:18" ht="33" customHeight="1" x14ac:dyDescent="0.2">
      <c r="A108" s="355" t="s">
        <v>103</v>
      </c>
      <c r="B108" s="355"/>
      <c r="C108" s="355"/>
      <c r="D108" s="355"/>
      <c r="E108" s="355"/>
      <c r="F108" s="355"/>
      <c r="G108" s="355"/>
      <c r="H108" s="355"/>
      <c r="I108" s="355"/>
      <c r="J108" s="355"/>
      <c r="K108" s="355"/>
      <c r="L108" s="355"/>
      <c r="M108" s="355"/>
    </row>
    <row r="109" spans="1:18" s="31" customFormat="1" ht="21.75" customHeight="1" x14ac:dyDescent="0.2">
      <c r="A109" s="327" t="s">
        <v>2</v>
      </c>
      <c r="B109" s="362" t="s">
        <v>157</v>
      </c>
      <c r="C109" s="363"/>
      <c r="D109" s="29" t="s">
        <v>31</v>
      </c>
      <c r="E109" s="109">
        <f>G109</f>
        <v>7117.8265600000004</v>
      </c>
      <c r="F109" s="109">
        <f>SUM(G109:K109)</f>
        <v>38100.387560000003</v>
      </c>
      <c r="G109" s="109">
        <f t="shared" ref="G109:K109" si="27">G110</f>
        <v>7117.8265600000004</v>
      </c>
      <c r="H109" s="194">
        <f t="shared" si="27"/>
        <v>7630.5610000000006</v>
      </c>
      <c r="I109" s="109">
        <f t="shared" si="27"/>
        <v>7776.8</v>
      </c>
      <c r="J109" s="109">
        <f t="shared" si="27"/>
        <v>7787.6</v>
      </c>
      <c r="K109" s="109">
        <f t="shared" si="27"/>
        <v>7787.6</v>
      </c>
      <c r="L109" s="324" t="s">
        <v>71</v>
      </c>
      <c r="M109" s="334"/>
    </row>
    <row r="110" spans="1:18" s="31" customFormat="1" ht="75.75" customHeight="1" x14ac:dyDescent="0.2">
      <c r="A110" s="327"/>
      <c r="B110" s="377"/>
      <c r="C110" s="378"/>
      <c r="D110" s="30" t="s">
        <v>180</v>
      </c>
      <c r="E110" s="109">
        <f>G110</f>
        <v>7117.8265600000004</v>
      </c>
      <c r="F110" s="173">
        <f>SUM(G110:K110)</f>
        <v>38100.387560000003</v>
      </c>
      <c r="G110" s="173">
        <f>G111+G113+G115+G117+G119+G121+G123+G125+G128</f>
        <v>7117.8265600000004</v>
      </c>
      <c r="H110" s="228">
        <f t="shared" ref="H110:K110" si="28">H111+H113+H115+H117+H119+H121+H123+H125</f>
        <v>7630.5610000000006</v>
      </c>
      <c r="I110" s="173">
        <f t="shared" si="28"/>
        <v>7776.8</v>
      </c>
      <c r="J110" s="173">
        <f t="shared" si="28"/>
        <v>7787.6</v>
      </c>
      <c r="K110" s="173">
        <f t="shared" si="28"/>
        <v>7787.6</v>
      </c>
      <c r="L110" s="336"/>
      <c r="M110" s="335"/>
      <c r="R110" s="486">
        <f>7640.6-H109</f>
        <v>10.03899999999976</v>
      </c>
    </row>
    <row r="111" spans="1:18" s="87" customFormat="1" ht="18" customHeight="1" x14ac:dyDescent="0.2">
      <c r="A111" s="359" t="s">
        <v>32</v>
      </c>
      <c r="B111" s="379" t="s">
        <v>236</v>
      </c>
      <c r="C111" s="380" t="s">
        <v>104</v>
      </c>
      <c r="D111" s="90" t="s">
        <v>31</v>
      </c>
      <c r="E111" s="164">
        <f>E112</f>
        <v>6511.3</v>
      </c>
      <c r="F111" s="164">
        <f t="shared" ref="F111:K121" si="29">F112</f>
        <v>32265.3</v>
      </c>
      <c r="G111" s="164">
        <f t="shared" si="29"/>
        <v>6220.1</v>
      </c>
      <c r="H111" s="194">
        <f t="shared" si="29"/>
        <v>6511.3</v>
      </c>
      <c r="I111" s="109">
        <f t="shared" si="29"/>
        <v>6511.3</v>
      </c>
      <c r="J111" s="109">
        <f t="shared" si="29"/>
        <v>6511.3</v>
      </c>
      <c r="K111" s="164">
        <f t="shared" si="29"/>
        <v>6511.3</v>
      </c>
      <c r="L111" s="324" t="s">
        <v>71</v>
      </c>
      <c r="M111" s="285"/>
    </row>
    <row r="112" spans="1:18" s="87" customFormat="1" ht="61.5" customHeight="1" x14ac:dyDescent="0.2">
      <c r="A112" s="359"/>
      <c r="B112" s="379"/>
      <c r="C112" s="381"/>
      <c r="D112" s="88" t="s">
        <v>85</v>
      </c>
      <c r="E112" s="163">
        <f>I112</f>
        <v>6511.3</v>
      </c>
      <c r="F112" s="163">
        <f>G112+H112+I112+J112+K112</f>
        <v>32265.3</v>
      </c>
      <c r="G112" s="163">
        <v>6220.1</v>
      </c>
      <c r="H112" s="228">
        <v>6511.3</v>
      </c>
      <c r="I112" s="173">
        <v>6511.3</v>
      </c>
      <c r="J112" s="173">
        <v>6511.3</v>
      </c>
      <c r="K112" s="163">
        <v>6511.3</v>
      </c>
      <c r="L112" s="336"/>
      <c r="M112" s="286"/>
    </row>
    <row r="113" spans="1:17" s="87" customFormat="1" ht="18" customHeight="1" x14ac:dyDescent="0.2">
      <c r="A113" s="318" t="s">
        <v>33</v>
      </c>
      <c r="B113" s="319" t="s">
        <v>237</v>
      </c>
      <c r="C113" s="311" t="s">
        <v>104</v>
      </c>
      <c r="D113" s="90" t="s">
        <v>31</v>
      </c>
      <c r="E113" s="164">
        <f>E114</f>
        <v>270.5</v>
      </c>
      <c r="F113" s="164">
        <f t="shared" si="29"/>
        <v>1383.6</v>
      </c>
      <c r="G113" s="164">
        <f t="shared" si="29"/>
        <v>280</v>
      </c>
      <c r="H113" s="194">
        <f t="shared" si="29"/>
        <v>270.5</v>
      </c>
      <c r="I113" s="109">
        <f t="shared" si="29"/>
        <v>270.5</v>
      </c>
      <c r="J113" s="109">
        <f t="shared" si="29"/>
        <v>281.3</v>
      </c>
      <c r="K113" s="164">
        <f t="shared" si="29"/>
        <v>281.3</v>
      </c>
      <c r="L113" s="314" t="s">
        <v>71</v>
      </c>
      <c r="M113" s="320"/>
    </row>
    <row r="114" spans="1:17" s="87" customFormat="1" ht="45" customHeight="1" x14ac:dyDescent="0.2">
      <c r="A114" s="318"/>
      <c r="B114" s="319"/>
      <c r="C114" s="313"/>
      <c r="D114" s="88" t="s">
        <v>85</v>
      </c>
      <c r="E114" s="163">
        <f>I114</f>
        <v>270.5</v>
      </c>
      <c r="F114" s="163">
        <f>G114+H114+I114+J114+K114</f>
        <v>1383.6</v>
      </c>
      <c r="G114" s="163">
        <v>280</v>
      </c>
      <c r="H114" s="228">
        <v>270.5</v>
      </c>
      <c r="I114" s="173">
        <v>270.5</v>
      </c>
      <c r="J114" s="173">
        <v>281.3</v>
      </c>
      <c r="K114" s="163">
        <v>281.3</v>
      </c>
      <c r="L114" s="316"/>
      <c r="M114" s="321"/>
    </row>
    <row r="115" spans="1:17" s="87" customFormat="1" ht="18" customHeight="1" x14ac:dyDescent="0.2">
      <c r="A115" s="318" t="s">
        <v>34</v>
      </c>
      <c r="B115" s="319" t="s">
        <v>238</v>
      </c>
      <c r="C115" s="311" t="s">
        <v>104</v>
      </c>
      <c r="D115" s="90" t="s">
        <v>31</v>
      </c>
      <c r="E115" s="164">
        <f>E116</f>
        <v>200</v>
      </c>
      <c r="F115" s="164">
        <f t="shared" si="29"/>
        <v>793.11655999999994</v>
      </c>
      <c r="G115" s="164">
        <f t="shared" si="29"/>
        <v>47.11656</v>
      </c>
      <c r="H115" s="194">
        <f t="shared" si="29"/>
        <v>146</v>
      </c>
      <c r="I115" s="109">
        <f t="shared" si="29"/>
        <v>200</v>
      </c>
      <c r="J115" s="109">
        <f t="shared" si="29"/>
        <v>200</v>
      </c>
      <c r="K115" s="164">
        <f t="shared" si="29"/>
        <v>200</v>
      </c>
      <c r="L115" s="314" t="s">
        <v>71</v>
      </c>
      <c r="M115" s="314" t="s">
        <v>182</v>
      </c>
    </row>
    <row r="116" spans="1:17" s="87" customFormat="1" ht="39" customHeight="1" x14ac:dyDescent="0.2">
      <c r="A116" s="318"/>
      <c r="B116" s="319"/>
      <c r="C116" s="313"/>
      <c r="D116" s="88" t="s">
        <v>85</v>
      </c>
      <c r="E116" s="163">
        <f>I116</f>
        <v>200</v>
      </c>
      <c r="F116" s="163">
        <f>G116+H116+I116+J116+K116</f>
        <v>793.11655999999994</v>
      </c>
      <c r="G116" s="163">
        <f>47116.56/1000</f>
        <v>47.11656</v>
      </c>
      <c r="H116" s="228">
        <v>146</v>
      </c>
      <c r="I116" s="173">
        <v>200</v>
      </c>
      <c r="J116" s="173">
        <v>200</v>
      </c>
      <c r="K116" s="163">
        <v>200</v>
      </c>
      <c r="L116" s="316"/>
      <c r="M116" s="316"/>
    </row>
    <row r="117" spans="1:17" s="87" customFormat="1" ht="18" customHeight="1" x14ac:dyDescent="0.2">
      <c r="A117" s="318" t="s">
        <v>72</v>
      </c>
      <c r="B117" s="319" t="s">
        <v>239</v>
      </c>
      <c r="C117" s="311" t="s">
        <v>104</v>
      </c>
      <c r="D117" s="90" t="s">
        <v>31</v>
      </c>
      <c r="E117" s="164">
        <f>E118</f>
        <v>5</v>
      </c>
      <c r="F117" s="164">
        <f t="shared" si="29"/>
        <v>22.661000000000001</v>
      </c>
      <c r="G117" s="164">
        <f t="shared" si="29"/>
        <v>5</v>
      </c>
      <c r="H117" s="194">
        <f t="shared" si="29"/>
        <v>2.661</v>
      </c>
      <c r="I117" s="109">
        <f t="shared" si="29"/>
        <v>5</v>
      </c>
      <c r="J117" s="109">
        <f t="shared" si="29"/>
        <v>5</v>
      </c>
      <c r="K117" s="164">
        <f t="shared" si="29"/>
        <v>5</v>
      </c>
      <c r="L117" s="314" t="s">
        <v>71</v>
      </c>
      <c r="M117" s="314" t="s">
        <v>291</v>
      </c>
    </row>
    <row r="118" spans="1:17" s="87" customFormat="1" ht="38.25" customHeight="1" x14ac:dyDescent="0.2">
      <c r="A118" s="318"/>
      <c r="B118" s="319"/>
      <c r="C118" s="313"/>
      <c r="D118" s="88" t="s">
        <v>85</v>
      </c>
      <c r="E118" s="163">
        <f>I118</f>
        <v>5</v>
      </c>
      <c r="F118" s="163">
        <f>G118+H118+I118+J118+K118</f>
        <v>22.661000000000001</v>
      </c>
      <c r="G118" s="163">
        <v>5</v>
      </c>
      <c r="H118" s="228">
        <f>2661/1000</f>
        <v>2.661</v>
      </c>
      <c r="I118" s="173">
        <v>5</v>
      </c>
      <c r="J118" s="173">
        <v>5</v>
      </c>
      <c r="K118" s="163">
        <v>5</v>
      </c>
      <c r="L118" s="316"/>
      <c r="M118" s="316"/>
    </row>
    <row r="119" spans="1:17" s="87" customFormat="1" ht="18" customHeight="1" x14ac:dyDescent="0.2">
      <c r="A119" s="318" t="s">
        <v>73</v>
      </c>
      <c r="B119" s="319" t="s">
        <v>240</v>
      </c>
      <c r="C119" s="311" t="s">
        <v>104</v>
      </c>
      <c r="D119" s="90" t="s">
        <v>31</v>
      </c>
      <c r="E119" s="164">
        <f>E120</f>
        <v>200</v>
      </c>
      <c r="F119" s="164">
        <f t="shared" si="29"/>
        <v>863.1</v>
      </c>
      <c r="G119" s="164">
        <f t="shared" si="29"/>
        <v>193.1</v>
      </c>
      <c r="H119" s="194">
        <f t="shared" si="29"/>
        <v>70</v>
      </c>
      <c r="I119" s="109">
        <f t="shared" si="29"/>
        <v>200</v>
      </c>
      <c r="J119" s="109">
        <f t="shared" si="29"/>
        <v>200</v>
      </c>
      <c r="K119" s="164">
        <f t="shared" si="29"/>
        <v>200</v>
      </c>
      <c r="L119" s="314" t="s">
        <v>71</v>
      </c>
      <c r="M119" s="314" t="s">
        <v>183</v>
      </c>
    </row>
    <row r="120" spans="1:17" s="87" customFormat="1" ht="50.25" customHeight="1" x14ac:dyDescent="0.2">
      <c r="A120" s="318"/>
      <c r="B120" s="319"/>
      <c r="C120" s="313"/>
      <c r="D120" s="88" t="s">
        <v>85</v>
      </c>
      <c r="E120" s="163">
        <f>I120</f>
        <v>200</v>
      </c>
      <c r="F120" s="163">
        <f>G120+H120+I120+J120+K120</f>
        <v>863.1</v>
      </c>
      <c r="G120" s="163">
        <f>193100/1000</f>
        <v>193.1</v>
      </c>
      <c r="H120" s="228">
        <v>70</v>
      </c>
      <c r="I120" s="173">
        <v>200</v>
      </c>
      <c r="J120" s="173">
        <v>200</v>
      </c>
      <c r="K120" s="163">
        <v>200</v>
      </c>
      <c r="L120" s="316"/>
      <c r="M120" s="316"/>
    </row>
    <row r="121" spans="1:17" s="87" customFormat="1" ht="18" customHeight="1" x14ac:dyDescent="0.2">
      <c r="A121" s="318" t="s">
        <v>74</v>
      </c>
      <c r="B121" s="319" t="s">
        <v>243</v>
      </c>
      <c r="C121" s="311" t="s">
        <v>104</v>
      </c>
      <c r="D121" s="90" t="s">
        <v>31</v>
      </c>
      <c r="E121" s="164">
        <f>E122</f>
        <v>200</v>
      </c>
      <c r="F121" s="164">
        <f t="shared" si="29"/>
        <v>919.79</v>
      </c>
      <c r="G121" s="164">
        <f t="shared" si="29"/>
        <v>37.79</v>
      </c>
      <c r="H121" s="194">
        <f t="shared" si="29"/>
        <v>282</v>
      </c>
      <c r="I121" s="109">
        <f t="shared" si="29"/>
        <v>200</v>
      </c>
      <c r="J121" s="109">
        <f t="shared" si="29"/>
        <v>200</v>
      </c>
      <c r="K121" s="164">
        <f t="shared" si="29"/>
        <v>200</v>
      </c>
      <c r="L121" s="314" t="s">
        <v>71</v>
      </c>
      <c r="M121" s="314" t="s">
        <v>177</v>
      </c>
    </row>
    <row r="122" spans="1:17" s="87" customFormat="1" ht="55.5" customHeight="1" x14ac:dyDescent="0.2">
      <c r="A122" s="318"/>
      <c r="B122" s="319"/>
      <c r="C122" s="313"/>
      <c r="D122" s="88" t="s">
        <v>85</v>
      </c>
      <c r="E122" s="163">
        <f>I122</f>
        <v>200</v>
      </c>
      <c r="F122" s="163">
        <f>G122+H122+I122+J122+K122</f>
        <v>919.79</v>
      </c>
      <c r="G122" s="163">
        <f>37790/1000</f>
        <v>37.79</v>
      </c>
      <c r="H122" s="228">
        <v>282</v>
      </c>
      <c r="I122" s="173">
        <v>200</v>
      </c>
      <c r="J122" s="173">
        <v>200</v>
      </c>
      <c r="K122" s="163">
        <v>200</v>
      </c>
      <c r="L122" s="316"/>
      <c r="M122" s="316"/>
    </row>
    <row r="123" spans="1:17" s="87" customFormat="1" ht="19.5" customHeight="1" x14ac:dyDescent="0.2">
      <c r="A123" s="317" t="s">
        <v>75</v>
      </c>
      <c r="B123" s="319" t="s">
        <v>241</v>
      </c>
      <c r="C123" s="311" t="s">
        <v>104</v>
      </c>
      <c r="D123" s="90" t="s">
        <v>11</v>
      </c>
      <c r="E123" s="164">
        <f>E124</f>
        <v>300</v>
      </c>
      <c r="F123" s="164">
        <f t="shared" ref="F123:K125" si="30">F124</f>
        <v>1488.62</v>
      </c>
      <c r="G123" s="164">
        <f t="shared" si="30"/>
        <v>330.52</v>
      </c>
      <c r="H123" s="194">
        <f t="shared" si="30"/>
        <v>258.10000000000002</v>
      </c>
      <c r="I123" s="109">
        <f t="shared" si="30"/>
        <v>300</v>
      </c>
      <c r="J123" s="109">
        <f t="shared" si="30"/>
        <v>300</v>
      </c>
      <c r="K123" s="164">
        <f t="shared" si="30"/>
        <v>300</v>
      </c>
      <c r="L123" s="314" t="s">
        <v>71</v>
      </c>
      <c r="M123" s="314" t="s">
        <v>184</v>
      </c>
    </row>
    <row r="124" spans="1:17" s="87" customFormat="1" ht="81" customHeight="1" x14ac:dyDescent="0.2">
      <c r="A124" s="318"/>
      <c r="B124" s="319"/>
      <c r="C124" s="313"/>
      <c r="D124" s="88" t="s">
        <v>84</v>
      </c>
      <c r="E124" s="163">
        <f>I124</f>
        <v>300</v>
      </c>
      <c r="F124" s="163">
        <f>G124+H124+I124+J124+K124</f>
        <v>1488.62</v>
      </c>
      <c r="G124" s="163">
        <f>330520/1000</f>
        <v>330.52</v>
      </c>
      <c r="H124" s="228">
        <v>258.10000000000002</v>
      </c>
      <c r="I124" s="173">
        <v>300</v>
      </c>
      <c r="J124" s="173">
        <v>300</v>
      </c>
      <c r="K124" s="163">
        <v>300</v>
      </c>
      <c r="L124" s="316"/>
      <c r="M124" s="316"/>
      <c r="Q124" s="92"/>
    </row>
    <row r="125" spans="1:17" s="87" customFormat="1" ht="19.5" customHeight="1" x14ac:dyDescent="0.2">
      <c r="A125" s="317" t="s">
        <v>108</v>
      </c>
      <c r="B125" s="319" t="s">
        <v>242</v>
      </c>
      <c r="C125" s="311" t="s">
        <v>104</v>
      </c>
      <c r="D125" s="90" t="s">
        <v>11</v>
      </c>
      <c r="E125" s="164">
        <f>E126</f>
        <v>90</v>
      </c>
      <c r="F125" s="164">
        <f t="shared" si="30"/>
        <v>360</v>
      </c>
      <c r="G125" s="164">
        <f t="shared" si="30"/>
        <v>0</v>
      </c>
      <c r="H125" s="194">
        <f t="shared" si="30"/>
        <v>90</v>
      </c>
      <c r="I125" s="109">
        <f t="shared" si="30"/>
        <v>90</v>
      </c>
      <c r="J125" s="109">
        <f t="shared" si="30"/>
        <v>90</v>
      </c>
      <c r="K125" s="164">
        <f t="shared" si="30"/>
        <v>90</v>
      </c>
      <c r="L125" s="314" t="s">
        <v>71</v>
      </c>
      <c r="M125" s="314" t="s">
        <v>171</v>
      </c>
    </row>
    <row r="126" spans="1:17" s="87" customFormat="1" ht="50.25" customHeight="1" x14ac:dyDescent="0.2">
      <c r="A126" s="318"/>
      <c r="B126" s="319"/>
      <c r="C126" s="313"/>
      <c r="D126" s="88" t="s">
        <v>84</v>
      </c>
      <c r="E126" s="163">
        <f>I126</f>
        <v>90</v>
      </c>
      <c r="F126" s="163">
        <f>G126+H126+I126+J126+K126</f>
        <v>360</v>
      </c>
      <c r="G126" s="163">
        <v>0</v>
      </c>
      <c r="H126" s="228">
        <v>90</v>
      </c>
      <c r="I126" s="173">
        <v>90</v>
      </c>
      <c r="J126" s="173">
        <v>90</v>
      </c>
      <c r="K126" s="163">
        <v>90</v>
      </c>
      <c r="L126" s="316"/>
      <c r="M126" s="316"/>
      <c r="Q126" s="92"/>
    </row>
    <row r="127" spans="1:17" ht="124.5" customHeight="1" x14ac:dyDescent="0.2">
      <c r="A127" s="10" t="s">
        <v>109</v>
      </c>
      <c r="B127" s="56" t="s">
        <v>175</v>
      </c>
      <c r="C127" s="22" t="s">
        <v>104</v>
      </c>
      <c r="D127" s="7" t="s">
        <v>86</v>
      </c>
      <c r="E127" s="371" t="s">
        <v>63</v>
      </c>
      <c r="F127" s="371"/>
      <c r="G127" s="371"/>
      <c r="H127" s="371"/>
      <c r="I127" s="371"/>
      <c r="J127" s="371"/>
      <c r="K127" s="371"/>
      <c r="L127" s="54" t="s">
        <v>71</v>
      </c>
      <c r="M127" s="285"/>
    </row>
    <row r="128" spans="1:17" s="87" customFormat="1" ht="19.5" customHeight="1" x14ac:dyDescent="0.2">
      <c r="A128" s="317" t="s">
        <v>142</v>
      </c>
      <c r="B128" s="319" t="s">
        <v>295</v>
      </c>
      <c r="C128" s="311" t="s">
        <v>104</v>
      </c>
      <c r="D128" s="90" t="s">
        <v>11</v>
      </c>
      <c r="E128" s="164">
        <f>E129</f>
        <v>0</v>
      </c>
      <c r="F128" s="164">
        <f t="shared" ref="F128:K128" si="31">F129</f>
        <v>4.2</v>
      </c>
      <c r="G128" s="164">
        <f t="shared" si="31"/>
        <v>4.2</v>
      </c>
      <c r="H128" s="194">
        <f t="shared" si="31"/>
        <v>0</v>
      </c>
      <c r="I128" s="109">
        <f t="shared" si="31"/>
        <v>0</v>
      </c>
      <c r="J128" s="109">
        <f t="shared" si="31"/>
        <v>0</v>
      </c>
      <c r="K128" s="164">
        <f t="shared" si="31"/>
        <v>0</v>
      </c>
      <c r="L128" s="314" t="s">
        <v>71</v>
      </c>
      <c r="M128" s="332"/>
    </row>
    <row r="129" spans="1:20" s="87" customFormat="1" ht="50.25" customHeight="1" x14ac:dyDescent="0.2">
      <c r="A129" s="318"/>
      <c r="B129" s="319"/>
      <c r="C129" s="313"/>
      <c r="D129" s="107" t="s">
        <v>84</v>
      </c>
      <c r="E129" s="163">
        <f>I129</f>
        <v>0</v>
      </c>
      <c r="F129" s="163">
        <f>G129+H129+I129+J129+K129</f>
        <v>4.2</v>
      </c>
      <c r="G129" s="163">
        <f>4200/1000</f>
        <v>4.2</v>
      </c>
      <c r="H129" s="228">
        <v>0</v>
      </c>
      <c r="I129" s="173">
        <v>0</v>
      </c>
      <c r="J129" s="173">
        <v>0</v>
      </c>
      <c r="K129" s="163">
        <v>0</v>
      </c>
      <c r="L129" s="316"/>
      <c r="M129" s="332"/>
      <c r="Q129" s="92"/>
    </row>
    <row r="130" spans="1:20" ht="15.75" x14ac:dyDescent="0.2">
      <c r="A130" s="235" t="s">
        <v>35</v>
      </c>
      <c r="B130" s="235"/>
      <c r="C130" s="235"/>
      <c r="D130" s="23" t="s">
        <v>36</v>
      </c>
      <c r="E130" s="172">
        <f>G130</f>
        <v>7117.8265600000004</v>
      </c>
      <c r="F130" s="172">
        <f>SUM(G130:K130)</f>
        <v>38100.387560000003</v>
      </c>
      <c r="G130" s="172">
        <f>G131</f>
        <v>7117.8265600000004</v>
      </c>
      <c r="H130" s="194">
        <f t="shared" ref="H130:K130" si="32">H131</f>
        <v>7630.5610000000006</v>
      </c>
      <c r="I130" s="109">
        <f t="shared" si="32"/>
        <v>7776.8</v>
      </c>
      <c r="J130" s="109">
        <f t="shared" si="32"/>
        <v>7787.6</v>
      </c>
      <c r="K130" s="172">
        <f t="shared" si="32"/>
        <v>7787.6</v>
      </c>
      <c r="L130" s="32"/>
      <c r="M130" s="286"/>
    </row>
    <row r="131" spans="1:20" ht="63.75" x14ac:dyDescent="0.2">
      <c r="A131" s="235"/>
      <c r="B131" s="235"/>
      <c r="C131" s="235"/>
      <c r="D131" s="24" t="s">
        <v>87</v>
      </c>
      <c r="E131" s="174">
        <f>G131</f>
        <v>7117.8265600000004</v>
      </c>
      <c r="F131" s="174">
        <f>SUM(G131:K131)</f>
        <v>38100.387560000003</v>
      </c>
      <c r="G131" s="174">
        <f>G109</f>
        <v>7117.8265600000004</v>
      </c>
      <c r="H131" s="194">
        <f>H109</f>
        <v>7630.5610000000006</v>
      </c>
      <c r="I131" s="189">
        <f>I109</f>
        <v>7776.8</v>
      </c>
      <c r="J131" s="189">
        <f>J109</f>
        <v>7787.6</v>
      </c>
      <c r="K131" s="174">
        <f>K109</f>
        <v>7787.6</v>
      </c>
      <c r="L131" s="33"/>
      <c r="M131" s="33"/>
    </row>
    <row r="132" spans="1:20" ht="20.25" customHeight="1" x14ac:dyDescent="0.2">
      <c r="A132" s="359" t="s">
        <v>37</v>
      </c>
      <c r="B132" s="359"/>
      <c r="C132" s="359"/>
      <c r="D132" s="23" t="s">
        <v>36</v>
      </c>
      <c r="E132" s="172">
        <f>G132</f>
        <v>139786.43033</v>
      </c>
      <c r="F132" s="172">
        <f>SUM(G132:K132)</f>
        <v>576345.98543999996</v>
      </c>
      <c r="G132" s="172">
        <f>G133+G134</f>
        <v>139786.43033</v>
      </c>
      <c r="H132" s="194">
        <f>H133+H134</f>
        <v>110580.15510999998</v>
      </c>
      <c r="I132" s="109">
        <f>I133+I134</f>
        <v>113836</v>
      </c>
      <c r="J132" s="109">
        <f t="shared" ref="J132:K132" si="33">J133+J134</f>
        <v>106071.70000000001</v>
      </c>
      <c r="K132" s="172">
        <f t="shared" si="33"/>
        <v>106071.70000000001</v>
      </c>
      <c r="L132" s="34"/>
      <c r="M132" s="34"/>
      <c r="Q132" s="18">
        <f>H133-107444.7</f>
        <v>3135.4551099999808</v>
      </c>
    </row>
    <row r="133" spans="1:20" ht="71.25" customHeight="1" x14ac:dyDescent="0.2">
      <c r="A133" s="359"/>
      <c r="B133" s="359"/>
      <c r="C133" s="359"/>
      <c r="D133" s="24" t="s">
        <v>78</v>
      </c>
      <c r="E133" s="174">
        <f>G133</f>
        <v>113362.06032999999</v>
      </c>
      <c r="F133" s="174">
        <f>SUM(G133:K133)</f>
        <v>541982.41544000001</v>
      </c>
      <c r="G133" s="174">
        <f>G61+G105+G131</f>
        <v>113362.06032999999</v>
      </c>
      <c r="H133" s="194">
        <f>H61+H105+H131</f>
        <v>110580.15510999998</v>
      </c>
      <c r="I133" s="174">
        <f>I61+I105+I131</f>
        <v>105896.8</v>
      </c>
      <c r="J133" s="174">
        <f>J61+J105+J131</f>
        <v>106071.70000000001</v>
      </c>
      <c r="K133" s="174">
        <f>K61+K105+K131</f>
        <v>106071.70000000001</v>
      </c>
      <c r="L133" s="33"/>
      <c r="M133" s="33"/>
      <c r="N133" s="28"/>
      <c r="O133" s="28"/>
      <c r="P133" s="28"/>
      <c r="Q133" s="28">
        <f>(110580125.39/1000)-H133</f>
        <v>-2.9719999976805411E-2</v>
      </c>
      <c r="R133" s="28"/>
      <c r="S133" s="28"/>
      <c r="T133" s="28"/>
    </row>
    <row r="134" spans="1:20" ht="62.25" customHeight="1" x14ac:dyDescent="0.2">
      <c r="A134" s="359"/>
      <c r="B134" s="359"/>
      <c r="C134" s="359"/>
      <c r="D134" s="25" t="s">
        <v>12</v>
      </c>
      <c r="E134" s="168">
        <f>G134</f>
        <v>26424.37</v>
      </c>
      <c r="F134" s="168">
        <f>SUM(G134:K134)</f>
        <v>34363.57</v>
      </c>
      <c r="G134" s="168">
        <f>G63+G107</f>
        <v>26424.37</v>
      </c>
      <c r="H134" s="194">
        <f>H63+H107</f>
        <v>0</v>
      </c>
      <c r="I134" s="168">
        <f>I63+I107</f>
        <v>7939.2</v>
      </c>
      <c r="J134" s="168">
        <f>J63+J107</f>
        <v>0</v>
      </c>
      <c r="K134" s="168">
        <f>K63+K107</f>
        <v>0</v>
      </c>
      <c r="L134" s="26"/>
      <c r="M134" s="26"/>
    </row>
    <row r="135" spans="1:20" x14ac:dyDescent="0.2">
      <c r="A135" s="35"/>
      <c r="B135" s="6"/>
      <c r="C135" s="6"/>
      <c r="D135" s="6"/>
      <c r="E135" s="20"/>
      <c r="F135" s="20"/>
      <c r="G135" s="20"/>
      <c r="H135" s="197"/>
      <c r="I135" s="197"/>
      <c r="J135" s="197"/>
      <c r="K135" s="20"/>
      <c r="L135" s="6"/>
      <c r="M135" s="6"/>
      <c r="N135" s="6"/>
    </row>
  </sheetData>
  <mergeCells count="301">
    <mergeCell ref="L100:L101"/>
    <mergeCell ref="M100:M101"/>
    <mergeCell ref="L98:L99"/>
    <mergeCell ref="M98:M99"/>
    <mergeCell ref="B86:B87"/>
    <mergeCell ref="B76:B77"/>
    <mergeCell ref="A86:A87"/>
    <mergeCell ref="A109:A110"/>
    <mergeCell ref="A104:C107"/>
    <mergeCell ref="A82:A83"/>
    <mergeCell ref="B88:B89"/>
    <mergeCell ref="A94:A95"/>
    <mergeCell ref="B94:B95"/>
    <mergeCell ref="C94:C95"/>
    <mergeCell ref="A90:A91"/>
    <mergeCell ref="B90:B91"/>
    <mergeCell ref="C90:C91"/>
    <mergeCell ref="C88:C89"/>
    <mergeCell ref="A88:A89"/>
    <mergeCell ref="A102:A103"/>
    <mergeCell ref="B102:B103"/>
    <mergeCell ref="C102:C103"/>
    <mergeCell ref="B82:B83"/>
    <mergeCell ref="A78:A79"/>
    <mergeCell ref="B96:B97"/>
    <mergeCell ref="A98:A99"/>
    <mergeCell ref="B98:B99"/>
    <mergeCell ref="C98:C99"/>
    <mergeCell ref="B123:B124"/>
    <mergeCell ref="A92:A93"/>
    <mergeCell ref="B92:B93"/>
    <mergeCell ref="A115:A116"/>
    <mergeCell ref="B115:B116"/>
    <mergeCell ref="A113:A114"/>
    <mergeCell ref="B113:B114"/>
    <mergeCell ref="B109:C110"/>
    <mergeCell ref="B111:B112"/>
    <mergeCell ref="A121:A122"/>
    <mergeCell ref="A111:A112"/>
    <mergeCell ref="A119:A120"/>
    <mergeCell ref="B119:B120"/>
    <mergeCell ref="C111:C112"/>
    <mergeCell ref="C113:C114"/>
    <mergeCell ref="C117:C118"/>
    <mergeCell ref="A100:A101"/>
    <mergeCell ref="B100:B101"/>
    <mergeCell ref="C100:C101"/>
    <mergeCell ref="L38:L39"/>
    <mergeCell ref="A132:C134"/>
    <mergeCell ref="C125:C126"/>
    <mergeCell ref="C119:C120"/>
    <mergeCell ref="C121:C122"/>
    <mergeCell ref="C123:C124"/>
    <mergeCell ref="A12:A13"/>
    <mergeCell ref="A14:A15"/>
    <mergeCell ref="B14:B15"/>
    <mergeCell ref="A47:A48"/>
    <mergeCell ref="B47:B48"/>
    <mergeCell ref="A60:C63"/>
    <mergeCell ref="A130:C131"/>
    <mergeCell ref="A117:A118"/>
    <mergeCell ref="B117:B118"/>
    <mergeCell ref="A125:A126"/>
    <mergeCell ref="A84:A85"/>
    <mergeCell ref="B84:B85"/>
    <mergeCell ref="B65:C67"/>
    <mergeCell ref="A108:M108"/>
    <mergeCell ref="L32:L33"/>
    <mergeCell ref="E127:K127"/>
    <mergeCell ref="L61:L62"/>
    <mergeCell ref="A96:A97"/>
    <mergeCell ref="C40:C41"/>
    <mergeCell ref="B125:B126"/>
    <mergeCell ref="B121:B122"/>
    <mergeCell ref="C49:C50"/>
    <mergeCell ref="M8:M9"/>
    <mergeCell ref="A32:A33"/>
    <mergeCell ref="B32:B33"/>
    <mergeCell ref="M28:M29"/>
    <mergeCell ref="M32:M33"/>
    <mergeCell ref="M34:M35"/>
    <mergeCell ref="M44:M46"/>
    <mergeCell ref="M47:M48"/>
    <mergeCell ref="M57:M59"/>
    <mergeCell ref="L14:L15"/>
    <mergeCell ref="A16:A17"/>
    <mergeCell ref="B16:B17"/>
    <mergeCell ref="L44:L46"/>
    <mergeCell ref="A44:A46"/>
    <mergeCell ref="M26:M27"/>
    <mergeCell ref="A26:A27"/>
    <mergeCell ref="B26:B27"/>
    <mergeCell ref="L119:L120"/>
    <mergeCell ref="C115:C116"/>
    <mergeCell ref="A123:A124"/>
    <mergeCell ref="A22:A23"/>
    <mergeCell ref="A20:A21"/>
    <mergeCell ref="C28:C29"/>
    <mergeCell ref="C30:C31"/>
    <mergeCell ref="C32:C33"/>
    <mergeCell ref="C34:C35"/>
    <mergeCell ref="E8:E9"/>
    <mergeCell ref="B30:B31"/>
    <mergeCell ref="A38:A39"/>
    <mergeCell ref="A36:A37"/>
    <mergeCell ref="B12:C13"/>
    <mergeCell ref="B38:B39"/>
    <mergeCell ref="C38:C39"/>
    <mergeCell ref="A34:A35"/>
    <mergeCell ref="B34:B35"/>
    <mergeCell ref="B22:B23"/>
    <mergeCell ref="B20:B21"/>
    <mergeCell ref="C22:C23"/>
    <mergeCell ref="B18:B19"/>
    <mergeCell ref="A1:M1"/>
    <mergeCell ref="A2:M2"/>
    <mergeCell ref="A3:M3"/>
    <mergeCell ref="C26:C27"/>
    <mergeCell ref="L16:L17"/>
    <mergeCell ref="L22:L23"/>
    <mergeCell ref="M22:M23"/>
    <mergeCell ref="L20:L21"/>
    <mergeCell ref="M24:M25"/>
    <mergeCell ref="M12:M13"/>
    <mergeCell ref="A5:M5"/>
    <mergeCell ref="A6:M6"/>
    <mergeCell ref="A18:A19"/>
    <mergeCell ref="L12:L13"/>
    <mergeCell ref="L8:L9"/>
    <mergeCell ref="C8:C9"/>
    <mergeCell ref="A11:M11"/>
    <mergeCell ref="F8:F9"/>
    <mergeCell ref="G8:K8"/>
    <mergeCell ref="A8:A9"/>
    <mergeCell ref="B8:B9"/>
    <mergeCell ref="D8:D9"/>
    <mergeCell ref="C18:C19"/>
    <mergeCell ref="C20:C21"/>
    <mergeCell ref="L26:L27"/>
    <mergeCell ref="A28:A29"/>
    <mergeCell ref="B28:B29"/>
    <mergeCell ref="A24:A25"/>
    <mergeCell ref="B24:B25"/>
    <mergeCell ref="L24:L25"/>
    <mergeCell ref="L102:L103"/>
    <mergeCell ref="M76:M77"/>
    <mergeCell ref="M78:M79"/>
    <mergeCell ref="C86:C87"/>
    <mergeCell ref="L82:L83"/>
    <mergeCell ref="C80:C81"/>
    <mergeCell ref="C82:C83"/>
    <mergeCell ref="C84:C85"/>
    <mergeCell ref="K61:K62"/>
    <mergeCell ref="M90:M91"/>
    <mergeCell ref="M92:M93"/>
    <mergeCell ref="M96:M97"/>
    <mergeCell ref="C96:C97"/>
    <mergeCell ref="L96:L97"/>
    <mergeCell ref="C74:C75"/>
    <mergeCell ref="L74:L75"/>
    <mergeCell ref="A30:A31"/>
    <mergeCell ref="A40:A41"/>
    <mergeCell ref="M40:M41"/>
    <mergeCell ref="M14:M15"/>
    <mergeCell ref="M84:M85"/>
    <mergeCell ref="M74:M75"/>
    <mergeCell ref="C92:C93"/>
    <mergeCell ref="M68:M69"/>
    <mergeCell ref="J66:J67"/>
    <mergeCell ref="L57:L59"/>
    <mergeCell ref="M66:M67"/>
    <mergeCell ref="K66:K67"/>
    <mergeCell ref="J61:J62"/>
    <mergeCell ref="C57:C59"/>
    <mergeCell ref="M61:M62"/>
    <mergeCell ref="G61:G62"/>
    <mergeCell ref="H61:H62"/>
    <mergeCell ref="M86:M87"/>
    <mergeCell ref="L80:L81"/>
    <mergeCell ref="F61:F62"/>
    <mergeCell ref="A64:M64"/>
    <mergeCell ref="M72:M73"/>
    <mergeCell ref="M70:M71"/>
    <mergeCell ref="A57:A59"/>
    <mergeCell ref="B57:B59"/>
    <mergeCell ref="M16:M17"/>
    <mergeCell ref="L105:L106"/>
    <mergeCell ref="L113:L114"/>
    <mergeCell ref="M20:M21"/>
    <mergeCell ref="L18:L19"/>
    <mergeCell ref="M18:M19"/>
    <mergeCell ref="C14:C15"/>
    <mergeCell ref="C16:C17"/>
    <mergeCell ref="C24:C25"/>
    <mergeCell ref="D61:D62"/>
    <mergeCell ref="L28:L29"/>
    <mergeCell ref="C47:C48"/>
    <mergeCell ref="B44:C46"/>
    <mergeCell ref="M49:M50"/>
    <mergeCell ref="B40:B41"/>
    <mergeCell ref="B36:B37"/>
    <mergeCell ref="L47:L48"/>
    <mergeCell ref="C36:C37"/>
    <mergeCell ref="L36:L37"/>
    <mergeCell ref="M36:M37"/>
    <mergeCell ref="L34:L35"/>
    <mergeCell ref="M38:M39"/>
    <mergeCell ref="L40:L41"/>
    <mergeCell ref="M30:M31"/>
    <mergeCell ref="L30:L31"/>
    <mergeCell ref="A72:A73"/>
    <mergeCell ref="B72:B73"/>
    <mergeCell ref="A70:A71"/>
    <mergeCell ref="L78:L79"/>
    <mergeCell ref="L72:L73"/>
    <mergeCell ref="A68:A69"/>
    <mergeCell ref="B68:B69"/>
    <mergeCell ref="C72:C73"/>
    <mergeCell ref="C70:C71"/>
    <mergeCell ref="M123:M124"/>
    <mergeCell ref="M109:M110"/>
    <mergeCell ref="L117:L118"/>
    <mergeCell ref="M119:M120"/>
    <mergeCell ref="L111:L112"/>
    <mergeCell ref="B74:B75"/>
    <mergeCell ref="I66:I67"/>
    <mergeCell ref="L70:L71"/>
    <mergeCell ref="E66:E67"/>
    <mergeCell ref="F66:F67"/>
    <mergeCell ref="B80:B81"/>
    <mergeCell ref="D105:D106"/>
    <mergeCell ref="E105:E106"/>
    <mergeCell ref="F105:F106"/>
    <mergeCell ref="L123:L124"/>
    <mergeCell ref="L115:L116"/>
    <mergeCell ref="M117:M118"/>
    <mergeCell ref="L109:L110"/>
    <mergeCell ref="M105:M106"/>
    <mergeCell ref="G105:G106"/>
    <mergeCell ref="H105:H106"/>
    <mergeCell ref="I105:I106"/>
    <mergeCell ref="J105:J106"/>
    <mergeCell ref="K105:K106"/>
    <mergeCell ref="A42:A43"/>
    <mergeCell ref="B42:B43"/>
    <mergeCell ref="C42:C43"/>
    <mergeCell ref="L42:L43"/>
    <mergeCell ref="M42:M43"/>
    <mergeCell ref="M127:M130"/>
    <mergeCell ref="M115:M116"/>
    <mergeCell ref="M113:M114"/>
    <mergeCell ref="M111:M112"/>
    <mergeCell ref="M121:M122"/>
    <mergeCell ref="L125:L126"/>
    <mergeCell ref="M125:M126"/>
    <mergeCell ref="L121:L122"/>
    <mergeCell ref="M80:M81"/>
    <mergeCell ref="M82:M83"/>
    <mergeCell ref="L88:L89"/>
    <mergeCell ref="L90:L91"/>
    <mergeCell ref="L92:L93"/>
    <mergeCell ref="M88:M89"/>
    <mergeCell ref="M94:M95"/>
    <mergeCell ref="L84:L85"/>
    <mergeCell ref="L86:L87"/>
    <mergeCell ref="L94:L95"/>
    <mergeCell ref="M102:M103"/>
    <mergeCell ref="A128:A129"/>
    <mergeCell ref="B128:B129"/>
    <mergeCell ref="C128:C129"/>
    <mergeCell ref="L128:L129"/>
    <mergeCell ref="A49:A50"/>
    <mergeCell ref="C68:C69"/>
    <mergeCell ref="C76:C77"/>
    <mergeCell ref="C78:C79"/>
    <mergeCell ref="L68:L69"/>
    <mergeCell ref="L76:L77"/>
    <mergeCell ref="B70:B71"/>
    <mergeCell ref="E61:E62"/>
    <mergeCell ref="G66:G67"/>
    <mergeCell ref="L49:L50"/>
    <mergeCell ref="B78:B79"/>
    <mergeCell ref="L66:L67"/>
    <mergeCell ref="A74:A75"/>
    <mergeCell ref="A76:A77"/>
    <mergeCell ref="I61:I62"/>
    <mergeCell ref="B49:B50"/>
    <mergeCell ref="A65:A67"/>
    <mergeCell ref="D66:D67"/>
    <mergeCell ref="H66:H67"/>
    <mergeCell ref="A80:A81"/>
    <mergeCell ref="A51:A53"/>
    <mergeCell ref="B51:B53"/>
    <mergeCell ref="C51:C53"/>
    <mergeCell ref="L51:L53"/>
    <mergeCell ref="M51:M53"/>
    <mergeCell ref="A54:A56"/>
    <mergeCell ref="B54:B56"/>
    <mergeCell ref="C54:C56"/>
    <mergeCell ref="L54:L56"/>
    <mergeCell ref="M54:M56"/>
  </mergeCells>
  <pageMargins left="0.51181102362204722" right="0.51181102362204722" top="0.74803149606299213" bottom="0.74803149606299213" header="0.31496062992125984" footer="0.31496062992125984"/>
  <pageSetup paperSize="9" scale="66" fitToHeight="0" orientation="landscape" r:id="rId1"/>
  <rowBreaks count="7" manualBreakCount="7">
    <brk id="21" max="12" man="1"/>
    <brk id="35" max="12" man="1"/>
    <brk id="53" max="12" man="1"/>
    <brk id="71" max="12" man="1"/>
    <brk id="85" max="12" man="1"/>
    <brk id="101" max="12" man="1"/>
    <brk id="11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315"/>
  <sheetViews>
    <sheetView view="pageBreakPreview" topLeftCell="A5" zoomScale="80" zoomScaleNormal="100" zoomScaleSheetLayoutView="80" workbookViewId="0">
      <selection activeCell="C54" sqref="C54:D59"/>
    </sheetView>
  </sheetViews>
  <sheetFormatPr defaultRowHeight="18" x14ac:dyDescent="0.2"/>
  <cols>
    <col min="1" max="1" width="55.7109375" style="71" customWidth="1"/>
    <col min="2" max="2" width="12.28515625" style="3" customWidth="1"/>
    <col min="3" max="3" width="15.85546875" style="3" hidden="1" customWidth="1"/>
    <col min="4" max="4" width="110.5703125" style="3" customWidth="1"/>
    <col min="5" max="5" width="15.42578125" style="3" customWidth="1"/>
    <col min="6" max="6" width="25.42578125" style="68" customWidth="1"/>
    <col min="7" max="7" width="19.5703125" style="3" customWidth="1"/>
    <col min="8" max="8" width="9.140625" style="3"/>
    <col min="9" max="9" width="26.7109375" style="177" customWidth="1"/>
    <col min="10" max="13" width="9.140625" style="3"/>
    <col min="14" max="14" width="12.5703125" style="3" bestFit="1" customWidth="1"/>
    <col min="15" max="16384" width="9.140625" style="3"/>
  </cols>
  <sheetData>
    <row r="1" spans="1:9" ht="15" hidden="1" customHeight="1" x14ac:dyDescent="0.2">
      <c r="D1" s="386" t="s">
        <v>195</v>
      </c>
      <c r="E1" s="386"/>
      <c r="F1" s="386"/>
      <c r="G1" s="386"/>
    </row>
    <row r="2" spans="1:9" ht="15" hidden="1" customHeight="1" x14ac:dyDescent="0.2">
      <c r="D2" s="82"/>
      <c r="E2" s="386" t="s">
        <v>196</v>
      </c>
      <c r="F2" s="386"/>
      <c r="G2" s="386"/>
    </row>
    <row r="3" spans="1:9" ht="15" hidden="1" customHeight="1" x14ac:dyDescent="0.2">
      <c r="D3" s="386" t="s">
        <v>195</v>
      </c>
      <c r="E3" s="386"/>
      <c r="F3" s="386"/>
      <c r="G3" s="386"/>
    </row>
    <row r="4" spans="1:9" ht="15" hidden="1" customHeight="1" x14ac:dyDescent="0.2">
      <c r="D4" s="95"/>
      <c r="E4" s="386" t="s">
        <v>196</v>
      </c>
      <c r="F4" s="386"/>
      <c r="G4" s="386"/>
    </row>
    <row r="5" spans="1:9" ht="15" customHeight="1" x14ac:dyDescent="0.2">
      <c r="D5" s="95"/>
      <c r="E5" s="95"/>
      <c r="F5" s="180"/>
      <c r="G5" s="95" t="s">
        <v>133</v>
      </c>
    </row>
    <row r="6" spans="1:9" ht="39" customHeight="1" x14ac:dyDescent="0.2">
      <c r="D6" s="387" t="s">
        <v>285</v>
      </c>
      <c r="E6" s="387"/>
      <c r="F6" s="387"/>
      <c r="G6" s="387"/>
    </row>
    <row r="7" spans="1:9" ht="33.75" customHeight="1" x14ac:dyDescent="0.2">
      <c r="A7" s="452" t="s">
        <v>270</v>
      </c>
      <c r="B7" s="452"/>
      <c r="C7" s="452"/>
      <c r="D7" s="452"/>
      <c r="E7" s="452"/>
      <c r="F7" s="452"/>
      <c r="G7" s="452"/>
    </row>
    <row r="8" spans="1:9" ht="78.75" customHeight="1" x14ac:dyDescent="0.2">
      <c r="A8" s="80" t="s">
        <v>28</v>
      </c>
      <c r="B8" s="72"/>
      <c r="C8" s="262" t="s">
        <v>29</v>
      </c>
      <c r="D8" s="262"/>
      <c r="E8" s="271" t="s">
        <v>30</v>
      </c>
      <c r="F8" s="271"/>
      <c r="G8" s="83" t="s">
        <v>27</v>
      </c>
    </row>
    <row r="9" spans="1:9" x14ac:dyDescent="0.2">
      <c r="A9" s="72">
        <v>1</v>
      </c>
      <c r="B9" s="72">
        <v>2</v>
      </c>
      <c r="C9" s="262">
        <v>3</v>
      </c>
      <c r="D9" s="262"/>
      <c r="E9" s="262">
        <v>4</v>
      </c>
      <c r="F9" s="262"/>
      <c r="G9" s="5">
        <v>5</v>
      </c>
    </row>
    <row r="10" spans="1:9" ht="23.25" customHeight="1" x14ac:dyDescent="0.2">
      <c r="A10" s="402" t="s">
        <v>56</v>
      </c>
      <c r="B10" s="402"/>
      <c r="C10" s="402"/>
      <c r="D10" s="402"/>
      <c r="E10" s="402"/>
      <c r="F10" s="402"/>
      <c r="G10" s="402"/>
      <c r="I10" s="179" t="e">
        <f>F12+F18+F24+F30+F36+F42+F48+F54+F60+F66+F72+F78+F84++F90+F96+F108+F114+F120+F126+#REF!+F132</f>
        <v>#REF!</v>
      </c>
    </row>
    <row r="11" spans="1:9" ht="51" customHeight="1" x14ac:dyDescent="0.2">
      <c r="A11" s="411" t="s">
        <v>164</v>
      </c>
      <c r="B11" s="412"/>
      <c r="C11" s="81"/>
      <c r="D11" s="81"/>
      <c r="E11" s="74"/>
      <c r="F11" s="181"/>
      <c r="G11" s="74"/>
      <c r="I11" s="177" t="e">
        <f>F102+F108+F114+F120+F126+#REF!+F132</f>
        <v>#REF!</v>
      </c>
    </row>
    <row r="12" spans="1:9" ht="20.25" customHeight="1" x14ac:dyDescent="0.2">
      <c r="A12" s="430" t="s">
        <v>385</v>
      </c>
      <c r="B12" s="262" t="s">
        <v>166</v>
      </c>
      <c r="C12" s="279" t="s">
        <v>435</v>
      </c>
      <c r="D12" s="279"/>
      <c r="E12" s="10" t="s">
        <v>53</v>
      </c>
      <c r="F12" s="182">
        <f>SUM(F13:F17)</f>
        <v>12340.85427</v>
      </c>
      <c r="G12" s="265"/>
      <c r="I12" s="177" t="e">
        <f>I10+I11</f>
        <v>#REF!</v>
      </c>
    </row>
    <row r="13" spans="1:9" ht="20.25" customHeight="1" x14ac:dyDescent="0.2">
      <c r="A13" s="430"/>
      <c r="B13" s="262"/>
      <c r="C13" s="279"/>
      <c r="D13" s="279"/>
      <c r="E13" s="5" t="s">
        <v>4</v>
      </c>
      <c r="F13" s="55">
        <f>'Прил 7 Перечень мероприятий'!G15</f>
        <v>2387.65427</v>
      </c>
      <c r="G13" s="265"/>
    </row>
    <row r="14" spans="1:9" ht="20.25" customHeight="1" x14ac:dyDescent="0.2">
      <c r="A14" s="430"/>
      <c r="B14" s="262"/>
      <c r="C14" s="279"/>
      <c r="D14" s="279"/>
      <c r="E14" s="5" t="s">
        <v>52</v>
      </c>
      <c r="F14" s="55">
        <f>'Прил 7 Перечень мероприятий'!H15</f>
        <v>1853.2</v>
      </c>
      <c r="G14" s="265"/>
    </row>
    <row r="15" spans="1:9" ht="20.25" customHeight="1" x14ac:dyDescent="0.2">
      <c r="A15" s="430"/>
      <c r="B15" s="262"/>
      <c r="C15" s="279"/>
      <c r="D15" s="279"/>
      <c r="E15" s="5" t="s">
        <v>100</v>
      </c>
      <c r="F15" s="55">
        <f>'Прил 7 Перечень мероприятий'!I15</f>
        <v>2700</v>
      </c>
      <c r="G15" s="265"/>
    </row>
    <row r="16" spans="1:9" ht="20.25" customHeight="1" x14ac:dyDescent="0.2">
      <c r="A16" s="430"/>
      <c r="B16" s="262"/>
      <c r="C16" s="279"/>
      <c r="D16" s="279"/>
      <c r="E16" s="5" t="s">
        <v>101</v>
      </c>
      <c r="F16" s="55">
        <f>'Прил 7 Перечень мероприятий'!J15</f>
        <v>2700</v>
      </c>
      <c r="G16" s="265"/>
    </row>
    <row r="17" spans="1:14" ht="39" customHeight="1" x14ac:dyDescent="0.2">
      <c r="A17" s="430"/>
      <c r="B17" s="262"/>
      <c r="C17" s="279"/>
      <c r="D17" s="279"/>
      <c r="E17" s="5" t="s">
        <v>102</v>
      </c>
      <c r="F17" s="55">
        <f>'Прил 7 Перечень мероприятий'!K15</f>
        <v>2700</v>
      </c>
      <c r="G17" s="265"/>
    </row>
    <row r="18" spans="1:14" ht="15.75" customHeight="1" x14ac:dyDescent="0.2">
      <c r="A18" s="400" t="s">
        <v>163</v>
      </c>
      <c r="B18" s="262" t="s">
        <v>166</v>
      </c>
      <c r="C18" s="410" t="s">
        <v>356</v>
      </c>
      <c r="D18" s="410"/>
      <c r="E18" s="70" t="s">
        <v>53</v>
      </c>
      <c r="F18" s="183">
        <f>SUM(F19:F23)</f>
        <v>1436.6990000000001</v>
      </c>
      <c r="G18" s="265"/>
    </row>
    <row r="19" spans="1:14" ht="15.75" customHeight="1" x14ac:dyDescent="0.2">
      <c r="A19" s="401"/>
      <c r="B19" s="262"/>
      <c r="C19" s="410"/>
      <c r="D19" s="410"/>
      <c r="E19" s="69" t="s">
        <v>4</v>
      </c>
      <c r="F19" s="55">
        <f>'Прил 7 Перечень мероприятий'!G17</f>
        <v>286.69900000000001</v>
      </c>
      <c r="G19" s="265"/>
    </row>
    <row r="20" spans="1:14" ht="15.75" customHeight="1" x14ac:dyDescent="0.2">
      <c r="A20" s="401"/>
      <c r="B20" s="262"/>
      <c r="C20" s="410"/>
      <c r="D20" s="410"/>
      <c r="E20" s="69" t="s">
        <v>52</v>
      </c>
      <c r="F20" s="55">
        <f>'Прил 7 Перечень мероприятий'!H17</f>
        <v>100</v>
      </c>
      <c r="G20" s="265"/>
    </row>
    <row r="21" spans="1:14" ht="15.75" customHeight="1" x14ac:dyDescent="0.2">
      <c r="A21" s="401"/>
      <c r="B21" s="262"/>
      <c r="C21" s="410"/>
      <c r="D21" s="410"/>
      <c r="E21" s="69" t="s">
        <v>100</v>
      </c>
      <c r="F21" s="55">
        <f>'Прил 7 Перечень мероприятий'!I17</f>
        <v>350</v>
      </c>
      <c r="G21" s="265"/>
    </row>
    <row r="22" spans="1:14" ht="15.75" customHeight="1" x14ac:dyDescent="0.2">
      <c r="A22" s="401"/>
      <c r="B22" s="262"/>
      <c r="C22" s="410"/>
      <c r="D22" s="410"/>
      <c r="E22" s="69" t="s">
        <v>101</v>
      </c>
      <c r="F22" s="55">
        <f>'Прил 7 Перечень мероприятий'!J17</f>
        <v>350</v>
      </c>
      <c r="G22" s="265"/>
    </row>
    <row r="23" spans="1:14" ht="15.75" customHeight="1" x14ac:dyDescent="0.2">
      <c r="A23" s="401"/>
      <c r="B23" s="262"/>
      <c r="C23" s="410"/>
      <c r="D23" s="410"/>
      <c r="E23" s="69" t="s">
        <v>102</v>
      </c>
      <c r="F23" s="55">
        <f>'Прил 7 Перечень мероприятий'!K17</f>
        <v>350</v>
      </c>
      <c r="G23" s="265"/>
    </row>
    <row r="24" spans="1:14" ht="11.25" customHeight="1" x14ac:dyDescent="0.2">
      <c r="A24" s="401" t="s">
        <v>223</v>
      </c>
      <c r="B24" s="262" t="s">
        <v>166</v>
      </c>
      <c r="C24" s="410" t="s">
        <v>355</v>
      </c>
      <c r="D24" s="410"/>
      <c r="E24" s="73" t="s">
        <v>53</v>
      </c>
      <c r="F24" s="183">
        <f>SUM(F25:F29)</f>
        <v>236594.71000000002</v>
      </c>
      <c r="G24" s="265"/>
    </row>
    <row r="25" spans="1:14" ht="11.25" customHeight="1" x14ac:dyDescent="0.2">
      <c r="A25" s="401"/>
      <c r="B25" s="262"/>
      <c r="C25" s="410"/>
      <c r="D25" s="410"/>
      <c r="E25" s="72" t="s">
        <v>4</v>
      </c>
      <c r="F25" s="55">
        <f>'Прил 7 Перечень мероприятий'!G19</f>
        <v>51118.31</v>
      </c>
      <c r="G25" s="265"/>
    </row>
    <row r="26" spans="1:14" ht="11.25" customHeight="1" x14ac:dyDescent="0.2">
      <c r="A26" s="401"/>
      <c r="B26" s="262"/>
      <c r="C26" s="410"/>
      <c r="D26" s="410"/>
      <c r="E26" s="72" t="s">
        <v>52</v>
      </c>
      <c r="F26" s="55">
        <f>'Прил 7 Перечень мероприятий'!H19</f>
        <v>46369.1</v>
      </c>
      <c r="G26" s="265"/>
    </row>
    <row r="27" spans="1:14" ht="11.25" customHeight="1" x14ac:dyDescent="0.2">
      <c r="A27" s="401"/>
      <c r="B27" s="262"/>
      <c r="C27" s="410"/>
      <c r="D27" s="410"/>
      <c r="E27" s="72" t="s">
        <v>100</v>
      </c>
      <c r="F27" s="55">
        <f>'Прил 7 Перечень мероприятий'!I19</f>
        <v>46369.1</v>
      </c>
      <c r="G27" s="265"/>
      <c r="N27" s="18">
        <f>F25*30.2%</f>
        <v>15437.729619999998</v>
      </c>
    </row>
    <row r="28" spans="1:14" ht="11.25" customHeight="1" x14ac:dyDescent="0.2">
      <c r="A28" s="401"/>
      <c r="B28" s="262"/>
      <c r="C28" s="410"/>
      <c r="D28" s="410"/>
      <c r="E28" s="72" t="s">
        <v>101</v>
      </c>
      <c r="F28" s="55">
        <f>'Прил 7 Перечень мероприятий'!J19</f>
        <v>46369.1</v>
      </c>
      <c r="G28" s="265"/>
      <c r="N28" s="18">
        <f>F26-N27</f>
        <v>30931.37038</v>
      </c>
    </row>
    <row r="29" spans="1:14" ht="11.25" customHeight="1" x14ac:dyDescent="0.2">
      <c r="A29" s="401"/>
      <c r="B29" s="262"/>
      <c r="C29" s="410"/>
      <c r="D29" s="410"/>
      <c r="E29" s="72" t="s">
        <v>102</v>
      </c>
      <c r="F29" s="55">
        <f>'Прил 7 Перечень мероприятий'!K19</f>
        <v>46369.1</v>
      </c>
      <c r="G29" s="265"/>
    </row>
    <row r="30" spans="1:14" ht="9.75" customHeight="1" x14ac:dyDescent="0.2">
      <c r="A30" s="394" t="s">
        <v>246</v>
      </c>
      <c r="B30" s="262" t="s">
        <v>166</v>
      </c>
      <c r="C30" s="406" t="s">
        <v>194</v>
      </c>
      <c r="D30" s="407"/>
      <c r="E30" s="73" t="s">
        <v>53</v>
      </c>
      <c r="F30" s="183">
        <f>SUM(F31:F35)</f>
        <v>14785.4</v>
      </c>
      <c r="G30" s="265"/>
    </row>
    <row r="31" spans="1:14" ht="9.75" customHeight="1" x14ac:dyDescent="0.2">
      <c r="A31" s="389"/>
      <c r="B31" s="262"/>
      <c r="C31" s="408"/>
      <c r="D31" s="409"/>
      <c r="E31" s="72" t="s">
        <v>4</v>
      </c>
      <c r="F31" s="55">
        <f>'Прил 7 Перечень мероприятий'!G21</f>
        <v>2820</v>
      </c>
      <c r="G31" s="265"/>
    </row>
    <row r="32" spans="1:14" ht="9.75" customHeight="1" x14ac:dyDescent="0.2">
      <c r="A32" s="389"/>
      <c r="B32" s="262"/>
      <c r="C32" s="408"/>
      <c r="D32" s="409"/>
      <c r="E32" s="72" t="s">
        <v>52</v>
      </c>
      <c r="F32" s="55">
        <f>'Прил 7 Перечень мероприятий'!H21</f>
        <v>2932.7</v>
      </c>
      <c r="G32" s="265"/>
    </row>
    <row r="33" spans="1:7" ht="9.75" customHeight="1" x14ac:dyDescent="0.2">
      <c r="A33" s="389"/>
      <c r="B33" s="262"/>
      <c r="C33" s="408"/>
      <c r="D33" s="409"/>
      <c r="E33" s="72" t="s">
        <v>100</v>
      </c>
      <c r="F33" s="55">
        <f>'Прил 7 Перечень мероприятий'!I21</f>
        <v>2932.7</v>
      </c>
      <c r="G33" s="265"/>
    </row>
    <row r="34" spans="1:7" ht="9.75" customHeight="1" x14ac:dyDescent="0.2">
      <c r="A34" s="389"/>
      <c r="B34" s="262"/>
      <c r="C34" s="408"/>
      <c r="D34" s="409"/>
      <c r="E34" s="72" t="s">
        <v>101</v>
      </c>
      <c r="F34" s="55">
        <f>'Прил 7 Перечень мероприятий'!J21</f>
        <v>3050</v>
      </c>
      <c r="G34" s="265"/>
    </row>
    <row r="35" spans="1:7" ht="12.75" customHeight="1" x14ac:dyDescent="0.2">
      <c r="A35" s="389"/>
      <c r="B35" s="262"/>
      <c r="C35" s="408"/>
      <c r="D35" s="409"/>
      <c r="E35" s="72" t="s">
        <v>102</v>
      </c>
      <c r="F35" s="55">
        <f>'Прил 7 Перечень мероприятий'!K21</f>
        <v>3050</v>
      </c>
      <c r="G35" s="265"/>
    </row>
    <row r="36" spans="1:7" ht="10.5" customHeight="1" x14ac:dyDescent="0.2">
      <c r="A36" s="388" t="s">
        <v>247</v>
      </c>
      <c r="B36" s="262" t="s">
        <v>166</v>
      </c>
      <c r="C36" s="435" t="s">
        <v>217</v>
      </c>
      <c r="D36" s="449"/>
      <c r="E36" s="73" t="s">
        <v>53</v>
      </c>
      <c r="F36" s="183">
        <f>SUM(F37:F41)</f>
        <v>5360.4</v>
      </c>
      <c r="G36" s="265"/>
    </row>
    <row r="37" spans="1:7" ht="10.5" customHeight="1" x14ac:dyDescent="0.2">
      <c r="A37" s="389"/>
      <c r="B37" s="262"/>
      <c r="C37" s="450"/>
      <c r="D37" s="451"/>
      <c r="E37" s="72" t="s">
        <v>4</v>
      </c>
      <c r="F37" s="55">
        <f>'Прил 7 Перечень мероприятий'!G23</f>
        <v>1165.0999999999999</v>
      </c>
      <c r="G37" s="265"/>
    </row>
    <row r="38" spans="1:7" ht="10.5" customHeight="1" x14ac:dyDescent="0.2">
      <c r="A38" s="389"/>
      <c r="B38" s="262"/>
      <c r="C38" s="450"/>
      <c r="D38" s="451"/>
      <c r="E38" s="72" t="s">
        <v>52</v>
      </c>
      <c r="F38" s="55">
        <f>'Прил 7 Перечень мероприятий'!H23</f>
        <v>700</v>
      </c>
      <c r="G38" s="265"/>
    </row>
    <row r="39" spans="1:7" ht="10.5" customHeight="1" x14ac:dyDescent="0.2">
      <c r="A39" s="389"/>
      <c r="B39" s="262"/>
      <c r="C39" s="450"/>
      <c r="D39" s="451"/>
      <c r="E39" s="72" t="s">
        <v>100</v>
      </c>
      <c r="F39" s="55">
        <f>'Прил 7 Перечень мероприятий'!I23</f>
        <v>1165.0999999999999</v>
      </c>
      <c r="G39" s="265"/>
    </row>
    <row r="40" spans="1:7" ht="10.5" customHeight="1" x14ac:dyDescent="0.2">
      <c r="A40" s="389"/>
      <c r="B40" s="262"/>
      <c r="C40" s="450"/>
      <c r="D40" s="451"/>
      <c r="E40" s="72" t="s">
        <v>101</v>
      </c>
      <c r="F40" s="55">
        <f>'Прил 7 Перечень мероприятий'!J23</f>
        <v>1165.0999999999999</v>
      </c>
      <c r="G40" s="265"/>
    </row>
    <row r="41" spans="1:7" ht="14.25" customHeight="1" x14ac:dyDescent="0.2">
      <c r="A41" s="389"/>
      <c r="B41" s="262"/>
      <c r="C41" s="450"/>
      <c r="D41" s="451"/>
      <c r="E41" s="72" t="s">
        <v>102</v>
      </c>
      <c r="F41" s="55">
        <f>'Прил 7 Перечень мероприятий'!K23</f>
        <v>1165.0999999999999</v>
      </c>
      <c r="G41" s="265"/>
    </row>
    <row r="42" spans="1:7" ht="21" customHeight="1" x14ac:dyDescent="0.2">
      <c r="A42" s="388" t="s">
        <v>248</v>
      </c>
      <c r="B42" s="262" t="s">
        <v>166</v>
      </c>
      <c r="C42" s="435" t="s">
        <v>363</v>
      </c>
      <c r="D42" s="436"/>
      <c r="E42" s="76" t="s">
        <v>53</v>
      </c>
      <c r="F42" s="183">
        <f>SUM(F43:F47)</f>
        <v>19289.599999999999</v>
      </c>
      <c r="G42" s="265"/>
    </row>
    <row r="43" spans="1:7" ht="21" customHeight="1" x14ac:dyDescent="0.2">
      <c r="A43" s="389"/>
      <c r="B43" s="262"/>
      <c r="C43" s="437"/>
      <c r="D43" s="438"/>
      <c r="E43" s="75" t="s">
        <v>4</v>
      </c>
      <c r="F43" s="55">
        <f>'Прил 7 Перечень мероприятий'!G25</f>
        <v>1958.2</v>
      </c>
      <c r="G43" s="265"/>
    </row>
    <row r="44" spans="1:7" ht="21" customHeight="1" x14ac:dyDescent="0.2">
      <c r="A44" s="389"/>
      <c r="B44" s="262"/>
      <c r="C44" s="437"/>
      <c r="D44" s="438"/>
      <c r="E44" s="75" t="s">
        <v>52</v>
      </c>
      <c r="F44" s="55">
        <f>'Прил 7 Перечень мероприятий'!H25</f>
        <v>3167.2</v>
      </c>
      <c r="G44" s="265"/>
    </row>
    <row r="45" spans="1:7" ht="21" customHeight="1" x14ac:dyDescent="0.2">
      <c r="A45" s="389"/>
      <c r="B45" s="262"/>
      <c r="C45" s="437"/>
      <c r="D45" s="438"/>
      <c r="E45" s="75" t="s">
        <v>100</v>
      </c>
      <c r="F45" s="55">
        <f>'Прил 7 Перечень мероприятий'!I25</f>
        <v>4721.3999999999996</v>
      </c>
      <c r="G45" s="265"/>
    </row>
    <row r="46" spans="1:7" ht="16.5" customHeight="1" x14ac:dyDescent="0.2">
      <c r="A46" s="389"/>
      <c r="B46" s="262"/>
      <c r="C46" s="437"/>
      <c r="D46" s="438"/>
      <c r="E46" s="75" t="s">
        <v>101</v>
      </c>
      <c r="F46" s="55">
        <f>'Прил 7 Перечень мероприятий'!J25</f>
        <v>4721.3999999999996</v>
      </c>
      <c r="G46" s="265"/>
    </row>
    <row r="47" spans="1:7" ht="44.25" customHeight="1" x14ac:dyDescent="0.2">
      <c r="A47" s="389"/>
      <c r="B47" s="262"/>
      <c r="C47" s="437"/>
      <c r="D47" s="438"/>
      <c r="E47" s="75" t="s">
        <v>102</v>
      </c>
      <c r="F47" s="55">
        <f>'Прил 7 Перечень мероприятий'!K25</f>
        <v>4721.3999999999996</v>
      </c>
      <c r="G47" s="265"/>
    </row>
    <row r="48" spans="1:7" ht="24.75" customHeight="1" x14ac:dyDescent="0.2">
      <c r="A48" s="388" t="s">
        <v>249</v>
      </c>
      <c r="B48" s="262" t="s">
        <v>166</v>
      </c>
      <c r="C48" s="435" t="s">
        <v>436</v>
      </c>
      <c r="D48" s="436"/>
      <c r="E48" s="76" t="s">
        <v>53</v>
      </c>
      <c r="F48" s="183">
        <f>SUM(F49:F53)</f>
        <v>8527.10527</v>
      </c>
      <c r="G48" s="265"/>
    </row>
    <row r="49" spans="1:7" ht="24.75" customHeight="1" x14ac:dyDescent="0.2">
      <c r="A49" s="389"/>
      <c r="B49" s="262"/>
      <c r="C49" s="437"/>
      <c r="D49" s="438"/>
      <c r="E49" s="75" t="s">
        <v>4</v>
      </c>
      <c r="F49" s="55">
        <f>'Прил 7 Перечень мероприятий'!G27</f>
        <v>879.96755000000007</v>
      </c>
      <c r="G49" s="265"/>
    </row>
    <row r="50" spans="1:7" ht="24.75" customHeight="1" x14ac:dyDescent="0.2">
      <c r="A50" s="389"/>
      <c r="B50" s="262"/>
      <c r="C50" s="437"/>
      <c r="D50" s="438"/>
      <c r="E50" s="75" t="s">
        <v>52</v>
      </c>
      <c r="F50" s="55">
        <f>'Прил 7 Перечень мероприятий'!H27</f>
        <v>1347.1377199999999</v>
      </c>
      <c r="G50" s="265"/>
    </row>
    <row r="51" spans="1:7" ht="24.75" customHeight="1" x14ac:dyDescent="0.2">
      <c r="A51" s="389"/>
      <c r="B51" s="262"/>
      <c r="C51" s="437"/>
      <c r="D51" s="438"/>
      <c r="E51" s="75" t="s">
        <v>100</v>
      </c>
      <c r="F51" s="55">
        <f>'Прил 7 Перечень мероприятий'!I27</f>
        <v>2100</v>
      </c>
      <c r="G51" s="265"/>
    </row>
    <row r="52" spans="1:7" ht="35.25" customHeight="1" x14ac:dyDescent="0.2">
      <c r="A52" s="389"/>
      <c r="B52" s="262"/>
      <c r="C52" s="437"/>
      <c r="D52" s="438"/>
      <c r="E52" s="75" t="s">
        <v>101</v>
      </c>
      <c r="F52" s="55">
        <f>'Прил 7 Перечень мероприятий'!J27</f>
        <v>2100</v>
      </c>
      <c r="G52" s="265"/>
    </row>
    <row r="53" spans="1:7" ht="64.5" customHeight="1" x14ac:dyDescent="0.2">
      <c r="A53" s="389"/>
      <c r="B53" s="262"/>
      <c r="C53" s="437"/>
      <c r="D53" s="438"/>
      <c r="E53" s="75" t="s">
        <v>102</v>
      </c>
      <c r="F53" s="55">
        <f>'Прил 7 Перечень мероприятий'!K27</f>
        <v>2100</v>
      </c>
      <c r="G53" s="265"/>
    </row>
    <row r="54" spans="1:7" ht="16.5" customHeight="1" x14ac:dyDescent="0.2">
      <c r="A54" s="388" t="s">
        <v>250</v>
      </c>
      <c r="B54" s="262" t="s">
        <v>166</v>
      </c>
      <c r="C54" s="406" t="s">
        <v>429</v>
      </c>
      <c r="D54" s="407"/>
      <c r="E54" s="76" t="s">
        <v>53</v>
      </c>
      <c r="F54" s="183">
        <f>SUM(F55:F59)</f>
        <v>6906.1</v>
      </c>
      <c r="G54" s="265"/>
    </row>
    <row r="55" spans="1:7" ht="16.5" customHeight="1" x14ac:dyDescent="0.2">
      <c r="A55" s="389"/>
      <c r="B55" s="262"/>
      <c r="C55" s="408"/>
      <c r="D55" s="409"/>
      <c r="E55" s="75" t="s">
        <v>4</v>
      </c>
      <c r="F55" s="55">
        <f>'Прил 7 Перечень мероприятий'!G29</f>
        <v>846.1</v>
      </c>
      <c r="G55" s="265"/>
    </row>
    <row r="56" spans="1:7" ht="16.5" customHeight="1" x14ac:dyDescent="0.2">
      <c r="A56" s="389"/>
      <c r="B56" s="262"/>
      <c r="C56" s="408"/>
      <c r="D56" s="409"/>
      <c r="E56" s="75" t="s">
        <v>52</v>
      </c>
      <c r="F56" s="55">
        <f>'Прил 7 Перечень мероприятий'!H29</f>
        <v>0</v>
      </c>
      <c r="G56" s="265"/>
    </row>
    <row r="57" spans="1:7" ht="16.5" customHeight="1" x14ac:dyDescent="0.2">
      <c r="A57" s="389"/>
      <c r="B57" s="262"/>
      <c r="C57" s="408"/>
      <c r="D57" s="409"/>
      <c r="E57" s="75" t="s">
        <v>100</v>
      </c>
      <c r="F57" s="55">
        <f>'Прил 7 Перечень мероприятий'!I29</f>
        <v>2020</v>
      </c>
      <c r="G57" s="265"/>
    </row>
    <row r="58" spans="1:7" ht="16.5" customHeight="1" x14ac:dyDescent="0.2">
      <c r="A58" s="389"/>
      <c r="B58" s="262"/>
      <c r="C58" s="408"/>
      <c r="D58" s="409"/>
      <c r="E58" s="75" t="s">
        <v>101</v>
      </c>
      <c r="F58" s="55">
        <f>'Прил 7 Перечень мероприятий'!J29</f>
        <v>2020</v>
      </c>
      <c r="G58" s="265"/>
    </row>
    <row r="59" spans="1:7" ht="42.75" customHeight="1" x14ac:dyDescent="0.2">
      <c r="A59" s="389"/>
      <c r="B59" s="262"/>
      <c r="C59" s="408"/>
      <c r="D59" s="409"/>
      <c r="E59" s="75" t="s">
        <v>102</v>
      </c>
      <c r="F59" s="55">
        <f>'Прил 7 Перечень мероприятий'!K29</f>
        <v>2020</v>
      </c>
      <c r="G59" s="265"/>
    </row>
    <row r="60" spans="1:7" ht="12" customHeight="1" x14ac:dyDescent="0.2">
      <c r="A60" s="388" t="s">
        <v>251</v>
      </c>
      <c r="B60" s="262" t="s">
        <v>166</v>
      </c>
      <c r="C60" s="435" t="s">
        <v>272</v>
      </c>
      <c r="D60" s="436"/>
      <c r="E60" s="73" t="s">
        <v>53</v>
      </c>
      <c r="F60" s="183">
        <f>SUM(F61:F65)</f>
        <v>190</v>
      </c>
      <c r="G60" s="265"/>
    </row>
    <row r="61" spans="1:7" ht="12" customHeight="1" x14ac:dyDescent="0.2">
      <c r="A61" s="389"/>
      <c r="B61" s="262"/>
      <c r="C61" s="437"/>
      <c r="D61" s="438"/>
      <c r="E61" s="72" t="s">
        <v>4</v>
      </c>
      <c r="F61" s="55">
        <f>'Прил 7 Перечень мероприятий'!G31</f>
        <v>0</v>
      </c>
      <c r="G61" s="265"/>
    </row>
    <row r="62" spans="1:7" ht="12" customHeight="1" x14ac:dyDescent="0.2">
      <c r="A62" s="389"/>
      <c r="B62" s="262"/>
      <c r="C62" s="437"/>
      <c r="D62" s="438"/>
      <c r="E62" s="72" t="s">
        <v>52</v>
      </c>
      <c r="F62" s="55">
        <f>'Прил 7 Перечень мероприятий'!H31</f>
        <v>40</v>
      </c>
      <c r="G62" s="265"/>
    </row>
    <row r="63" spans="1:7" ht="12" customHeight="1" x14ac:dyDescent="0.2">
      <c r="A63" s="389"/>
      <c r="B63" s="262"/>
      <c r="C63" s="437"/>
      <c r="D63" s="438"/>
      <c r="E63" s="72" t="s">
        <v>100</v>
      </c>
      <c r="F63" s="55">
        <f>'Прил 7 Перечень мероприятий'!I31</f>
        <v>50</v>
      </c>
      <c r="G63" s="265"/>
    </row>
    <row r="64" spans="1:7" ht="12" customHeight="1" x14ac:dyDescent="0.2">
      <c r="A64" s="389"/>
      <c r="B64" s="262"/>
      <c r="C64" s="437"/>
      <c r="D64" s="438"/>
      <c r="E64" s="72" t="s">
        <v>101</v>
      </c>
      <c r="F64" s="55">
        <f>'Прил 7 Перечень мероприятий'!J31</f>
        <v>50</v>
      </c>
      <c r="G64" s="265"/>
    </row>
    <row r="65" spans="1:9" ht="12" customHeight="1" x14ac:dyDescent="0.2">
      <c r="A65" s="389"/>
      <c r="B65" s="262"/>
      <c r="C65" s="437"/>
      <c r="D65" s="438"/>
      <c r="E65" s="72" t="s">
        <v>102</v>
      </c>
      <c r="F65" s="55">
        <f>'Прил 7 Перечень мероприятий'!K31</f>
        <v>50</v>
      </c>
      <c r="G65" s="265"/>
    </row>
    <row r="66" spans="1:9" ht="9.75" customHeight="1" x14ac:dyDescent="0.2">
      <c r="A66" s="388" t="s">
        <v>252</v>
      </c>
      <c r="B66" s="262" t="s">
        <v>166</v>
      </c>
      <c r="C66" s="435" t="s">
        <v>300</v>
      </c>
      <c r="D66" s="436"/>
      <c r="E66" s="73" t="s">
        <v>53</v>
      </c>
      <c r="F66" s="183">
        <f>SUM(F67:F71)</f>
        <v>1136.568</v>
      </c>
      <c r="G66" s="265"/>
    </row>
    <row r="67" spans="1:9" ht="9.75" customHeight="1" x14ac:dyDescent="0.2">
      <c r="A67" s="389"/>
      <c r="B67" s="262"/>
      <c r="C67" s="437"/>
      <c r="D67" s="438"/>
      <c r="E67" s="72" t="s">
        <v>4</v>
      </c>
      <c r="F67" s="55">
        <f>'Прил 7 Перечень мероприятий'!G33</f>
        <v>56.567999999999998</v>
      </c>
      <c r="G67" s="265"/>
    </row>
    <row r="68" spans="1:9" ht="9.75" customHeight="1" x14ac:dyDescent="0.2">
      <c r="A68" s="389"/>
      <c r="B68" s="262"/>
      <c r="C68" s="437"/>
      <c r="D68" s="438"/>
      <c r="E68" s="72" t="s">
        <v>52</v>
      </c>
      <c r="F68" s="55">
        <f>'Прил 7 Перечень мероприятий'!H33</f>
        <v>0</v>
      </c>
      <c r="G68" s="265"/>
    </row>
    <row r="69" spans="1:9" ht="9.75" customHeight="1" x14ac:dyDescent="0.2">
      <c r="A69" s="389"/>
      <c r="B69" s="262"/>
      <c r="C69" s="437"/>
      <c r="D69" s="438"/>
      <c r="E69" s="72" t="s">
        <v>100</v>
      </c>
      <c r="F69" s="55">
        <f>'Прил 7 Перечень мероприятий'!I33</f>
        <v>360</v>
      </c>
      <c r="G69" s="265"/>
    </row>
    <row r="70" spans="1:9" ht="9.75" customHeight="1" x14ac:dyDescent="0.2">
      <c r="A70" s="389"/>
      <c r="B70" s="262"/>
      <c r="C70" s="437"/>
      <c r="D70" s="438"/>
      <c r="E70" s="72" t="s">
        <v>101</v>
      </c>
      <c r="F70" s="55">
        <f>'Прил 7 Перечень мероприятий'!J33</f>
        <v>360</v>
      </c>
      <c r="G70" s="265"/>
    </row>
    <row r="71" spans="1:9" ht="24.75" customHeight="1" x14ac:dyDescent="0.2">
      <c r="A71" s="389"/>
      <c r="B71" s="262"/>
      <c r="C71" s="437"/>
      <c r="D71" s="438"/>
      <c r="E71" s="72" t="s">
        <v>102</v>
      </c>
      <c r="F71" s="55">
        <f>'Прил 7 Перечень мероприятий'!K33</f>
        <v>360</v>
      </c>
      <c r="G71" s="265"/>
    </row>
    <row r="72" spans="1:9" ht="12.75" customHeight="1" x14ac:dyDescent="0.2">
      <c r="A72" s="388" t="s">
        <v>253</v>
      </c>
      <c r="B72" s="262" t="s">
        <v>166</v>
      </c>
      <c r="C72" s="406" t="s">
        <v>293</v>
      </c>
      <c r="D72" s="407"/>
      <c r="E72" s="73" t="s">
        <v>53</v>
      </c>
      <c r="F72" s="183">
        <f>SUM(F73:F77)</f>
        <v>1475</v>
      </c>
      <c r="G72" s="265"/>
    </row>
    <row r="73" spans="1:9" ht="12.75" customHeight="1" x14ac:dyDescent="0.2">
      <c r="A73" s="389"/>
      <c r="B73" s="262"/>
      <c r="C73" s="408"/>
      <c r="D73" s="409"/>
      <c r="E73" s="72" t="s">
        <v>4</v>
      </c>
      <c r="F73" s="55">
        <f>'Прил 7 Перечень мероприятий'!G35</f>
        <v>200</v>
      </c>
      <c r="G73" s="265"/>
    </row>
    <row r="74" spans="1:9" ht="12.75" customHeight="1" x14ac:dyDescent="0.2">
      <c r="A74" s="389"/>
      <c r="B74" s="262"/>
      <c r="C74" s="408"/>
      <c r="D74" s="409"/>
      <c r="E74" s="72" t="s">
        <v>52</v>
      </c>
      <c r="F74" s="55">
        <f>'Прил 7 Перечень мероприятий'!H35</f>
        <v>0</v>
      </c>
      <c r="G74" s="265"/>
    </row>
    <row r="75" spans="1:9" ht="12.75" customHeight="1" x14ac:dyDescent="0.2">
      <c r="A75" s="389"/>
      <c r="B75" s="262"/>
      <c r="C75" s="408"/>
      <c r="D75" s="409"/>
      <c r="E75" s="72" t="s">
        <v>100</v>
      </c>
      <c r="F75" s="55">
        <f>'Прил 7 Перечень мероприятий'!I35</f>
        <v>425</v>
      </c>
      <c r="G75" s="265"/>
    </row>
    <row r="76" spans="1:9" ht="12.75" customHeight="1" x14ac:dyDescent="0.2">
      <c r="A76" s="389"/>
      <c r="B76" s="262"/>
      <c r="C76" s="408"/>
      <c r="D76" s="409"/>
      <c r="E76" s="72" t="s">
        <v>101</v>
      </c>
      <c r="F76" s="55">
        <f>'Прил 7 Перечень мероприятий'!J35</f>
        <v>425</v>
      </c>
      <c r="G76" s="265"/>
    </row>
    <row r="77" spans="1:9" ht="9" customHeight="1" x14ac:dyDescent="0.2">
      <c r="A77" s="389"/>
      <c r="B77" s="285"/>
      <c r="C77" s="408"/>
      <c r="D77" s="409"/>
      <c r="E77" s="84" t="s">
        <v>102</v>
      </c>
      <c r="F77" s="184">
        <f>'Прил 7 Перечень мероприятий'!K35</f>
        <v>425</v>
      </c>
      <c r="G77" s="405"/>
    </row>
    <row r="78" spans="1:9" s="87" customFormat="1" ht="10.5" customHeight="1" x14ac:dyDescent="0.2">
      <c r="A78" s="429" t="s">
        <v>215</v>
      </c>
      <c r="B78" s="431" t="s">
        <v>166</v>
      </c>
      <c r="C78" s="102"/>
      <c r="D78" s="432" t="s">
        <v>423</v>
      </c>
      <c r="E78" s="104" t="s">
        <v>53</v>
      </c>
      <c r="F78" s="181">
        <f>SUM(F79:F83)</f>
        <v>1394.8233</v>
      </c>
      <c r="G78" s="320"/>
      <c r="I78" s="178"/>
    </row>
    <row r="79" spans="1:9" s="87" customFormat="1" ht="10.5" customHeight="1" x14ac:dyDescent="0.2">
      <c r="A79" s="420"/>
      <c r="B79" s="431"/>
      <c r="C79" s="102"/>
      <c r="D79" s="433"/>
      <c r="E79" s="103" t="s">
        <v>4</v>
      </c>
      <c r="F79" s="185">
        <f>'Прил 7 Перечень мероприятий'!G37</f>
        <v>194.82329999999999</v>
      </c>
      <c r="G79" s="352"/>
      <c r="I79" s="178"/>
    </row>
    <row r="80" spans="1:9" s="87" customFormat="1" ht="10.5" customHeight="1" x14ac:dyDescent="0.2">
      <c r="A80" s="420"/>
      <c r="B80" s="431"/>
      <c r="C80" s="102"/>
      <c r="D80" s="433"/>
      <c r="E80" s="103" t="s">
        <v>52</v>
      </c>
      <c r="F80" s="185">
        <f>'Прил 7 Перечень мероприятий'!H37</f>
        <v>300</v>
      </c>
      <c r="G80" s="352"/>
      <c r="I80" s="178"/>
    </row>
    <row r="81" spans="1:9" s="87" customFormat="1" ht="10.5" customHeight="1" x14ac:dyDescent="0.2">
      <c r="A81" s="420"/>
      <c r="B81" s="431"/>
      <c r="C81" s="102"/>
      <c r="D81" s="433"/>
      <c r="E81" s="103" t="s">
        <v>100</v>
      </c>
      <c r="F81" s="185">
        <f>'Прил 7 Перечень мероприятий'!I37</f>
        <v>300</v>
      </c>
      <c r="G81" s="352"/>
      <c r="I81" s="178"/>
    </row>
    <row r="82" spans="1:9" s="87" customFormat="1" ht="10.5" customHeight="1" x14ac:dyDescent="0.2">
      <c r="A82" s="420"/>
      <c r="B82" s="431"/>
      <c r="C82" s="102"/>
      <c r="D82" s="433"/>
      <c r="E82" s="103" t="s">
        <v>101</v>
      </c>
      <c r="F82" s="185">
        <f>'Прил 7 Перечень мероприятий'!J37</f>
        <v>300</v>
      </c>
      <c r="G82" s="352"/>
      <c r="I82" s="178"/>
    </row>
    <row r="83" spans="1:9" s="87" customFormat="1" ht="15" customHeight="1" x14ac:dyDescent="0.2">
      <c r="A83" s="420"/>
      <c r="B83" s="320"/>
      <c r="C83" s="102"/>
      <c r="D83" s="433"/>
      <c r="E83" s="101" t="s">
        <v>102</v>
      </c>
      <c r="F83" s="185">
        <f>'Прил 7 Перечень мероприятий'!K37</f>
        <v>300</v>
      </c>
      <c r="G83" s="321"/>
      <c r="I83" s="178"/>
    </row>
    <row r="84" spans="1:9" s="87" customFormat="1" ht="33" customHeight="1" x14ac:dyDescent="0.2">
      <c r="A84" s="429" t="s">
        <v>277</v>
      </c>
      <c r="B84" s="431" t="s">
        <v>166</v>
      </c>
      <c r="C84" s="102"/>
      <c r="D84" s="415" t="s">
        <v>282</v>
      </c>
      <c r="E84" s="104" t="s">
        <v>53</v>
      </c>
      <c r="F84" s="181">
        <f>SUM(F85:F89)</f>
        <v>897.5</v>
      </c>
      <c r="G84" s="320"/>
      <c r="I84" s="178"/>
    </row>
    <row r="85" spans="1:9" s="87" customFormat="1" ht="33" customHeight="1" x14ac:dyDescent="0.2">
      <c r="A85" s="420"/>
      <c r="B85" s="431"/>
      <c r="C85" s="102"/>
      <c r="D85" s="416"/>
      <c r="E85" s="103" t="s">
        <v>4</v>
      </c>
      <c r="F85" s="185">
        <f>'Прил 7 Перечень мероприятий'!G39</f>
        <v>99.5</v>
      </c>
      <c r="G85" s="352"/>
      <c r="I85" s="178"/>
    </row>
    <row r="86" spans="1:9" s="87" customFormat="1" ht="33" customHeight="1" x14ac:dyDescent="0.2">
      <c r="A86" s="420"/>
      <c r="B86" s="431"/>
      <c r="C86" s="102"/>
      <c r="D86" s="416"/>
      <c r="E86" s="103" t="s">
        <v>52</v>
      </c>
      <c r="F86" s="185">
        <f>'Прил 7 Перечень мероприятий'!H39</f>
        <v>198</v>
      </c>
      <c r="G86" s="352"/>
      <c r="I86" s="178"/>
    </row>
    <row r="87" spans="1:9" s="87" customFormat="1" ht="33" customHeight="1" x14ac:dyDescent="0.2">
      <c r="A87" s="420"/>
      <c r="B87" s="431"/>
      <c r="C87" s="102"/>
      <c r="D87" s="416"/>
      <c r="E87" s="103" t="s">
        <v>100</v>
      </c>
      <c r="F87" s="185">
        <f>'Прил 7 Перечень мероприятий'!I39</f>
        <v>200</v>
      </c>
      <c r="G87" s="352"/>
      <c r="I87" s="178"/>
    </row>
    <row r="88" spans="1:9" s="87" customFormat="1" ht="33" customHeight="1" x14ac:dyDescent="0.2">
      <c r="A88" s="420"/>
      <c r="B88" s="431"/>
      <c r="C88" s="102"/>
      <c r="D88" s="416"/>
      <c r="E88" s="103" t="s">
        <v>101</v>
      </c>
      <c r="F88" s="185">
        <f>'Прил 7 Перечень мероприятий'!J39</f>
        <v>200</v>
      </c>
      <c r="G88" s="352"/>
      <c r="I88" s="178"/>
    </row>
    <row r="89" spans="1:9" s="87" customFormat="1" ht="33" customHeight="1" x14ac:dyDescent="0.2">
      <c r="A89" s="420"/>
      <c r="B89" s="320"/>
      <c r="C89" s="102"/>
      <c r="D89" s="416"/>
      <c r="E89" s="101" t="s">
        <v>102</v>
      </c>
      <c r="F89" s="185">
        <f>'Прил 7 Перечень мероприятий'!K39</f>
        <v>200</v>
      </c>
      <c r="G89" s="321"/>
      <c r="I89" s="178"/>
    </row>
    <row r="90" spans="1:9" s="87" customFormat="1" ht="18" customHeight="1" x14ac:dyDescent="0.2">
      <c r="A90" s="429" t="s">
        <v>278</v>
      </c>
      <c r="B90" s="431" t="s">
        <v>166</v>
      </c>
      <c r="C90" s="140"/>
      <c r="D90" s="415" t="s">
        <v>281</v>
      </c>
      <c r="E90" s="151" t="s">
        <v>53</v>
      </c>
      <c r="F90" s="181">
        <f>SUM(F91:F95)</f>
        <v>120.72629999999999</v>
      </c>
      <c r="G90" s="320"/>
      <c r="I90" s="178"/>
    </row>
    <row r="91" spans="1:9" s="87" customFormat="1" ht="11.25" customHeight="1" x14ac:dyDescent="0.2">
      <c r="A91" s="420"/>
      <c r="B91" s="431"/>
      <c r="C91" s="140"/>
      <c r="D91" s="416"/>
      <c r="E91" s="150" t="s">
        <v>4</v>
      </c>
      <c r="F91" s="185">
        <f>'Прил 7 Перечень мероприятий'!G41</f>
        <v>21.726299999999998</v>
      </c>
      <c r="G91" s="352"/>
      <c r="I91" s="178"/>
    </row>
    <row r="92" spans="1:9" s="87" customFormat="1" ht="16.5" customHeight="1" x14ac:dyDescent="0.2">
      <c r="A92" s="420"/>
      <c r="B92" s="431"/>
      <c r="C92" s="140"/>
      <c r="D92" s="416"/>
      <c r="E92" s="150" t="s">
        <v>52</v>
      </c>
      <c r="F92" s="185">
        <f>'Прил 7 Перечень мероприятий'!H41</f>
        <v>24</v>
      </c>
      <c r="G92" s="352"/>
      <c r="I92" s="178"/>
    </row>
    <row r="93" spans="1:9" s="87" customFormat="1" ht="16.5" customHeight="1" x14ac:dyDescent="0.2">
      <c r="A93" s="420"/>
      <c r="B93" s="431"/>
      <c r="C93" s="140"/>
      <c r="D93" s="416"/>
      <c r="E93" s="150" t="s">
        <v>100</v>
      </c>
      <c r="F93" s="185">
        <f>'Прил 7 Перечень мероприятий'!I41</f>
        <v>25</v>
      </c>
      <c r="G93" s="352"/>
      <c r="I93" s="178"/>
    </row>
    <row r="94" spans="1:9" s="87" customFormat="1" ht="12" customHeight="1" x14ac:dyDescent="0.2">
      <c r="A94" s="420"/>
      <c r="B94" s="431"/>
      <c r="C94" s="140"/>
      <c r="D94" s="416"/>
      <c r="E94" s="150" t="s">
        <v>101</v>
      </c>
      <c r="F94" s="185">
        <f>'Прил 7 Перечень мероприятий'!J41</f>
        <v>25</v>
      </c>
      <c r="G94" s="352"/>
      <c r="I94" s="178"/>
    </row>
    <row r="95" spans="1:9" s="87" customFormat="1" ht="16.5" customHeight="1" x14ac:dyDescent="0.2">
      <c r="A95" s="420"/>
      <c r="B95" s="320"/>
      <c r="C95" s="140"/>
      <c r="D95" s="416"/>
      <c r="E95" s="149" t="s">
        <v>102</v>
      </c>
      <c r="F95" s="185">
        <f>'Прил 7 Перечень мероприятий'!K41</f>
        <v>25</v>
      </c>
      <c r="G95" s="321"/>
      <c r="I95" s="178"/>
    </row>
    <row r="96" spans="1:9" s="87" customFormat="1" x14ac:dyDescent="0.2">
      <c r="A96" s="429" t="s">
        <v>366</v>
      </c>
      <c r="B96" s="431" t="s">
        <v>166</v>
      </c>
      <c r="C96" s="140"/>
      <c r="D96" s="415" t="s">
        <v>367</v>
      </c>
      <c r="E96" s="154" t="s">
        <v>53</v>
      </c>
      <c r="F96" s="181">
        <f>SUM(F97:F101)</f>
        <v>590</v>
      </c>
      <c r="G96" s="320"/>
      <c r="I96" s="178"/>
    </row>
    <row r="97" spans="1:9" s="87" customFormat="1" x14ac:dyDescent="0.2">
      <c r="A97" s="420"/>
      <c r="B97" s="431"/>
      <c r="C97" s="140"/>
      <c r="D97" s="416"/>
      <c r="E97" s="153" t="s">
        <v>4</v>
      </c>
      <c r="F97" s="185">
        <f>'Прил 7 Перечень мероприятий'!G43</f>
        <v>0</v>
      </c>
      <c r="G97" s="352"/>
      <c r="I97" s="178"/>
    </row>
    <row r="98" spans="1:9" s="87" customFormat="1" x14ac:dyDescent="0.2">
      <c r="A98" s="420"/>
      <c r="B98" s="431"/>
      <c r="C98" s="140"/>
      <c r="D98" s="416"/>
      <c r="E98" s="153" t="s">
        <v>52</v>
      </c>
      <c r="F98" s="185">
        <f>'Прил 7 Перечень мероприятий'!H43</f>
        <v>590</v>
      </c>
      <c r="G98" s="352"/>
      <c r="I98" s="178"/>
    </row>
    <row r="99" spans="1:9" s="87" customFormat="1" x14ac:dyDescent="0.2">
      <c r="A99" s="420"/>
      <c r="B99" s="431"/>
      <c r="C99" s="140"/>
      <c r="D99" s="416"/>
      <c r="E99" s="153" t="s">
        <v>100</v>
      </c>
      <c r="F99" s="185">
        <f>'Прил 7 Перечень мероприятий'!I43</f>
        <v>0</v>
      </c>
      <c r="G99" s="352"/>
      <c r="I99" s="178"/>
    </row>
    <row r="100" spans="1:9" s="87" customFormat="1" x14ac:dyDescent="0.2">
      <c r="A100" s="420"/>
      <c r="B100" s="431"/>
      <c r="C100" s="140"/>
      <c r="D100" s="416"/>
      <c r="E100" s="153" t="s">
        <v>101</v>
      </c>
      <c r="F100" s="185">
        <f>'Прил 7 Перечень мероприятий'!I43</f>
        <v>0</v>
      </c>
      <c r="G100" s="352"/>
      <c r="I100" s="178"/>
    </row>
    <row r="101" spans="1:9" s="87" customFormat="1" x14ac:dyDescent="0.2">
      <c r="A101" s="420"/>
      <c r="B101" s="320"/>
      <c r="C101" s="140"/>
      <c r="D101" s="416"/>
      <c r="E101" s="152" t="s">
        <v>102</v>
      </c>
      <c r="F101" s="185">
        <f>'Прил 7 Перечень мероприятий'!K43</f>
        <v>0</v>
      </c>
      <c r="G101" s="321"/>
      <c r="I101" s="178"/>
    </row>
    <row r="102" spans="1:9" s="87" customFormat="1" x14ac:dyDescent="0.2">
      <c r="A102" s="429" t="s">
        <v>162</v>
      </c>
      <c r="B102" s="421" t="s">
        <v>271</v>
      </c>
      <c r="C102" s="268" t="s">
        <v>116</v>
      </c>
      <c r="D102" s="268"/>
      <c r="E102" s="74" t="s">
        <v>53</v>
      </c>
      <c r="F102" s="186">
        <f>F103+F104+F105+F106+F107</f>
        <v>49612.642399999997</v>
      </c>
      <c r="G102" s="458"/>
      <c r="I102" s="178"/>
    </row>
    <row r="103" spans="1:9" s="87" customFormat="1" x14ac:dyDescent="0.2">
      <c r="A103" s="420"/>
      <c r="B103" s="421"/>
      <c r="C103" s="268"/>
      <c r="D103" s="268"/>
      <c r="E103" s="61" t="s">
        <v>4</v>
      </c>
      <c r="F103" s="187">
        <f>'Прил 7 Перечень мероприятий'!G44</f>
        <v>32751.842400000001</v>
      </c>
      <c r="G103" s="458"/>
      <c r="I103" s="178"/>
    </row>
    <row r="104" spans="1:9" s="87" customFormat="1" x14ac:dyDescent="0.2">
      <c r="A104" s="420"/>
      <c r="B104" s="421"/>
      <c r="C104" s="268"/>
      <c r="D104" s="268"/>
      <c r="E104" s="61" t="s">
        <v>52</v>
      </c>
      <c r="F104" s="185">
        <f>'Прил 7 Перечень мероприятий'!H45</f>
        <v>8921.6</v>
      </c>
      <c r="G104" s="458"/>
      <c r="I104" s="178"/>
    </row>
    <row r="105" spans="1:9" s="87" customFormat="1" x14ac:dyDescent="0.2">
      <c r="A105" s="420"/>
      <c r="B105" s="421"/>
      <c r="C105" s="268"/>
      <c r="D105" s="268"/>
      <c r="E105" s="61" t="s">
        <v>100</v>
      </c>
      <c r="F105" s="185">
        <f>F129</f>
        <v>7939.2</v>
      </c>
      <c r="G105" s="458"/>
      <c r="I105" s="178"/>
    </row>
    <row r="106" spans="1:9" s="87" customFormat="1" x14ac:dyDescent="0.2">
      <c r="A106" s="420"/>
      <c r="B106" s="421"/>
      <c r="C106" s="268"/>
      <c r="D106" s="268"/>
      <c r="E106" s="61" t="s">
        <v>101</v>
      </c>
      <c r="F106" s="185">
        <f>'Прил 7 Перечень мероприятий'!J45</f>
        <v>0</v>
      </c>
      <c r="G106" s="458"/>
      <c r="I106" s="178"/>
    </row>
    <row r="107" spans="1:9" s="87" customFormat="1" x14ac:dyDescent="0.2">
      <c r="A107" s="420"/>
      <c r="B107" s="375"/>
      <c r="C107" s="268"/>
      <c r="D107" s="268"/>
      <c r="E107" s="61" t="s">
        <v>102</v>
      </c>
      <c r="F107" s="185">
        <f>'Прил 7 Перечень мероприятий'!K45</f>
        <v>0</v>
      </c>
      <c r="G107" s="458"/>
      <c r="I107" s="178"/>
    </row>
    <row r="108" spans="1:9" s="87" customFormat="1" ht="13.5" customHeight="1" x14ac:dyDescent="0.2">
      <c r="A108" s="429" t="s">
        <v>198</v>
      </c>
      <c r="B108" s="431" t="s">
        <v>166</v>
      </c>
      <c r="C108" s="62"/>
      <c r="D108" s="320"/>
      <c r="E108" s="74" t="s">
        <v>53</v>
      </c>
      <c r="F108" s="181">
        <f>F109+F110+F111+F112+F113</f>
        <v>0</v>
      </c>
      <c r="G108" s="320"/>
      <c r="I108" s="178"/>
    </row>
    <row r="109" spans="1:9" s="87" customFormat="1" ht="13.5" customHeight="1" x14ac:dyDescent="0.2">
      <c r="A109" s="420"/>
      <c r="B109" s="431"/>
      <c r="C109" s="62"/>
      <c r="D109" s="352"/>
      <c r="E109" s="61" t="s">
        <v>4</v>
      </c>
      <c r="F109" s="185">
        <f>'Прил 7 Перечень мероприятий'!G48</f>
        <v>0</v>
      </c>
      <c r="G109" s="352"/>
      <c r="I109" s="178"/>
    </row>
    <row r="110" spans="1:9" s="87" customFormat="1" ht="13.5" customHeight="1" x14ac:dyDescent="0.2">
      <c r="A110" s="420"/>
      <c r="B110" s="431"/>
      <c r="C110" s="62"/>
      <c r="D110" s="352"/>
      <c r="E110" s="61" t="s">
        <v>52</v>
      </c>
      <c r="F110" s="185">
        <f>'Прил 7 Перечень мероприятий'!H48</f>
        <v>0</v>
      </c>
      <c r="G110" s="352"/>
      <c r="I110" s="178"/>
    </row>
    <row r="111" spans="1:9" s="87" customFormat="1" ht="13.5" customHeight="1" x14ac:dyDescent="0.2">
      <c r="A111" s="420"/>
      <c r="B111" s="431"/>
      <c r="C111" s="62"/>
      <c r="D111" s="352"/>
      <c r="E111" s="61" t="s">
        <v>100</v>
      </c>
      <c r="F111" s="185">
        <f>'Прил 7 Перечень мероприятий'!I48</f>
        <v>0</v>
      </c>
      <c r="G111" s="352"/>
      <c r="I111" s="178"/>
    </row>
    <row r="112" spans="1:9" s="87" customFormat="1" ht="13.5" customHeight="1" x14ac:dyDescent="0.2">
      <c r="A112" s="420"/>
      <c r="B112" s="431"/>
      <c r="C112" s="62"/>
      <c r="D112" s="352"/>
      <c r="E112" s="61" t="s">
        <v>101</v>
      </c>
      <c r="F112" s="185">
        <f>'Прил 7 Перечень мероприятий'!J48</f>
        <v>0</v>
      </c>
      <c r="G112" s="352"/>
      <c r="I112" s="178"/>
    </row>
    <row r="113" spans="1:9" s="87" customFormat="1" ht="13.5" customHeight="1" x14ac:dyDescent="0.2">
      <c r="A113" s="420"/>
      <c r="B113" s="320"/>
      <c r="C113" s="62"/>
      <c r="D113" s="321"/>
      <c r="E113" s="61" t="s">
        <v>102</v>
      </c>
      <c r="F113" s="185">
        <f>'Прил 7 Перечень мероприятий'!K48</f>
        <v>0</v>
      </c>
      <c r="G113" s="321"/>
      <c r="I113" s="178"/>
    </row>
    <row r="114" spans="1:9" s="87" customFormat="1" ht="12" customHeight="1" x14ac:dyDescent="0.2">
      <c r="A114" s="434" t="s">
        <v>416</v>
      </c>
      <c r="B114" s="421" t="s">
        <v>166</v>
      </c>
      <c r="C114" s="105"/>
      <c r="D114" s="383" t="s">
        <v>424</v>
      </c>
      <c r="E114" s="74" t="s">
        <v>53</v>
      </c>
      <c r="F114" s="181">
        <f>F115+F116+F117+F118+F119</f>
        <v>2899.7624000000001</v>
      </c>
      <c r="G114" s="320"/>
      <c r="I114" s="178"/>
    </row>
    <row r="115" spans="1:9" s="87" customFormat="1" ht="12" customHeight="1" x14ac:dyDescent="0.2">
      <c r="A115" s="384"/>
      <c r="B115" s="421"/>
      <c r="C115" s="105"/>
      <c r="D115" s="384"/>
      <c r="E115" s="61" t="s">
        <v>4</v>
      </c>
      <c r="F115" s="185">
        <f>'Прил 7 Перечень мероприятий'!G50</f>
        <v>799.76240000000007</v>
      </c>
      <c r="G115" s="352"/>
      <c r="I115" s="178"/>
    </row>
    <row r="116" spans="1:9" s="87" customFormat="1" ht="12" customHeight="1" x14ac:dyDescent="0.2">
      <c r="A116" s="384"/>
      <c r="B116" s="421"/>
      <c r="C116" s="105"/>
      <c r="D116" s="384"/>
      <c r="E116" s="61" t="s">
        <v>52</v>
      </c>
      <c r="F116" s="185">
        <f>'Прил 7 Перечень мероприятий'!H50</f>
        <v>2100</v>
      </c>
      <c r="G116" s="352"/>
      <c r="I116" s="178"/>
    </row>
    <row r="117" spans="1:9" s="87" customFormat="1" ht="12" customHeight="1" x14ac:dyDescent="0.2">
      <c r="A117" s="384"/>
      <c r="B117" s="421"/>
      <c r="C117" s="105"/>
      <c r="D117" s="384"/>
      <c r="E117" s="61" t="s">
        <v>100</v>
      </c>
      <c r="F117" s="185">
        <f>'Прил 7 Перечень мероприятий'!I50</f>
        <v>0</v>
      </c>
      <c r="G117" s="352"/>
      <c r="I117" s="178"/>
    </row>
    <row r="118" spans="1:9" s="87" customFormat="1" ht="12" customHeight="1" x14ac:dyDescent="0.2">
      <c r="A118" s="384"/>
      <c r="B118" s="421"/>
      <c r="C118" s="105"/>
      <c r="D118" s="384"/>
      <c r="E118" s="61" t="s">
        <v>101</v>
      </c>
      <c r="F118" s="185">
        <f>'Прил 7 Перечень мероприятий'!J50</f>
        <v>0</v>
      </c>
      <c r="G118" s="352"/>
      <c r="I118" s="178"/>
    </row>
    <row r="119" spans="1:9" s="87" customFormat="1" ht="12" customHeight="1" x14ac:dyDescent="0.2">
      <c r="A119" s="384"/>
      <c r="B119" s="375"/>
      <c r="C119" s="105"/>
      <c r="D119" s="385"/>
      <c r="E119" s="61" t="s">
        <v>102</v>
      </c>
      <c r="F119" s="185">
        <f>'Прил 7 Перечень мероприятий'!K50</f>
        <v>0</v>
      </c>
      <c r="G119" s="321"/>
      <c r="I119" s="178"/>
    </row>
    <row r="120" spans="1:9" s="87" customFormat="1" ht="15.75" customHeight="1" x14ac:dyDescent="0.2">
      <c r="A120" s="328" t="s">
        <v>288</v>
      </c>
      <c r="B120" s="423" t="s">
        <v>271</v>
      </c>
      <c r="C120" s="30"/>
      <c r="D120" s="425" t="s">
        <v>286</v>
      </c>
      <c r="E120" s="223" t="s">
        <v>53</v>
      </c>
      <c r="F120" s="224">
        <f>F121+F122+F123+F124+F125</f>
        <v>31952.079999999998</v>
      </c>
      <c r="G120" s="334"/>
      <c r="I120" s="178"/>
    </row>
    <row r="121" spans="1:9" s="87" customFormat="1" ht="15.75" customHeight="1" x14ac:dyDescent="0.2">
      <c r="A121" s="422"/>
      <c r="B121" s="423"/>
      <c r="C121" s="30"/>
      <c r="D121" s="426"/>
      <c r="E121" s="225" t="s">
        <v>4</v>
      </c>
      <c r="F121" s="226">
        <f>'Прил 7 Перечень мероприятий'!G46+'Прил 7 Перечень мероприятий'!G47+'Прил 7 Перечень мероприятий'!G53</f>
        <v>31952.079999999998</v>
      </c>
      <c r="G121" s="428"/>
      <c r="I121" s="178"/>
    </row>
    <row r="122" spans="1:9" s="87" customFormat="1" ht="15.75" customHeight="1" x14ac:dyDescent="0.2">
      <c r="A122" s="422"/>
      <c r="B122" s="423"/>
      <c r="C122" s="30"/>
      <c r="D122" s="426"/>
      <c r="E122" s="225" t="s">
        <v>52</v>
      </c>
      <c r="F122" s="226">
        <f>'Прил 7 Перечень мероприятий'!H47</f>
        <v>0</v>
      </c>
      <c r="G122" s="428"/>
      <c r="I122" s="178"/>
    </row>
    <row r="123" spans="1:9" s="87" customFormat="1" ht="15.75" customHeight="1" x14ac:dyDescent="0.2">
      <c r="A123" s="422"/>
      <c r="B123" s="423"/>
      <c r="C123" s="30"/>
      <c r="D123" s="426"/>
      <c r="E123" s="225" t="s">
        <v>100</v>
      </c>
      <c r="F123" s="226">
        <f>'Прил 7 Перечень мероприятий'!I47</f>
        <v>0</v>
      </c>
      <c r="G123" s="428"/>
      <c r="I123" s="178"/>
    </row>
    <row r="124" spans="1:9" s="87" customFormat="1" ht="15.75" customHeight="1" x14ac:dyDescent="0.2">
      <c r="A124" s="422"/>
      <c r="B124" s="423"/>
      <c r="C124" s="30"/>
      <c r="D124" s="426"/>
      <c r="E124" s="225" t="s">
        <v>101</v>
      </c>
      <c r="F124" s="226">
        <f>'Прил 7 Перечень мероприятий'!J47</f>
        <v>0</v>
      </c>
      <c r="G124" s="428"/>
      <c r="I124" s="178"/>
    </row>
    <row r="125" spans="1:9" s="87" customFormat="1" ht="15.75" customHeight="1" x14ac:dyDescent="0.2">
      <c r="A125" s="422"/>
      <c r="B125" s="424"/>
      <c r="C125" s="30"/>
      <c r="D125" s="427"/>
      <c r="E125" s="225" t="s">
        <v>102</v>
      </c>
      <c r="F125" s="226">
        <f>'Прил 7 Перечень мероприятий'!K47</f>
        <v>0</v>
      </c>
      <c r="G125" s="335"/>
      <c r="I125" s="178"/>
    </row>
    <row r="126" spans="1:9" s="87" customFormat="1" ht="15.75" customHeight="1" x14ac:dyDescent="0.2">
      <c r="A126" s="419" t="s">
        <v>418</v>
      </c>
      <c r="B126" s="421" t="s">
        <v>271</v>
      </c>
      <c r="C126" s="140"/>
      <c r="D126" s="383" t="s">
        <v>286</v>
      </c>
      <c r="E126" s="142" t="s">
        <v>53</v>
      </c>
      <c r="F126" s="181">
        <f>F127+F128+F129+F130+F131</f>
        <v>11260.8</v>
      </c>
      <c r="G126" s="320"/>
      <c r="I126" s="178"/>
    </row>
    <row r="127" spans="1:9" s="87" customFormat="1" ht="15.75" customHeight="1" x14ac:dyDescent="0.2">
      <c r="A127" s="420"/>
      <c r="B127" s="421"/>
      <c r="C127" s="140"/>
      <c r="D127" s="384"/>
      <c r="E127" s="139" t="s">
        <v>4</v>
      </c>
      <c r="F127" s="185">
        <f>'Прил 7 Перечень мероприятий'!G56</f>
        <v>0</v>
      </c>
      <c r="G127" s="352"/>
      <c r="I127" s="178"/>
    </row>
    <row r="128" spans="1:9" s="87" customFormat="1" ht="15.75" customHeight="1" x14ac:dyDescent="0.2">
      <c r="A128" s="420"/>
      <c r="B128" s="421"/>
      <c r="C128" s="140"/>
      <c r="D128" s="384"/>
      <c r="E128" s="139" t="s">
        <v>52</v>
      </c>
      <c r="F128" s="185">
        <f>'Прил 7 Перечень мероприятий'!H56</f>
        <v>3321.6</v>
      </c>
      <c r="G128" s="352"/>
      <c r="I128" s="178"/>
    </row>
    <row r="129" spans="1:9" s="87" customFormat="1" ht="15.75" customHeight="1" x14ac:dyDescent="0.2">
      <c r="A129" s="420"/>
      <c r="B129" s="421"/>
      <c r="C129" s="140"/>
      <c r="D129" s="384"/>
      <c r="E129" s="139" t="s">
        <v>100</v>
      </c>
      <c r="F129" s="185">
        <f>'Прил 7 Перечень мероприятий'!I55</f>
        <v>7939.2</v>
      </c>
      <c r="G129" s="352"/>
      <c r="I129" s="178"/>
    </row>
    <row r="130" spans="1:9" s="87" customFormat="1" ht="15.75" customHeight="1" x14ac:dyDescent="0.2">
      <c r="A130" s="420"/>
      <c r="B130" s="421"/>
      <c r="C130" s="140"/>
      <c r="D130" s="384"/>
      <c r="E130" s="139" t="s">
        <v>101</v>
      </c>
      <c r="F130" s="185">
        <f>'Прил 7 Перечень мероприятий'!J56</f>
        <v>0</v>
      </c>
      <c r="G130" s="352"/>
      <c r="I130" s="178"/>
    </row>
    <row r="131" spans="1:9" s="87" customFormat="1" ht="15.75" customHeight="1" x14ac:dyDescent="0.2">
      <c r="A131" s="420"/>
      <c r="B131" s="375"/>
      <c r="C131" s="140"/>
      <c r="D131" s="385"/>
      <c r="E131" s="139" t="s">
        <v>102</v>
      </c>
      <c r="F131" s="185">
        <f>'Прил 7 Перечень мероприятий'!K56</f>
        <v>0</v>
      </c>
      <c r="G131" s="321"/>
      <c r="I131" s="178"/>
    </row>
    <row r="132" spans="1:9" s="87" customFormat="1" ht="14.25" customHeight="1" x14ac:dyDescent="0.2">
      <c r="A132" s="429" t="s">
        <v>434</v>
      </c>
      <c r="B132" s="421" t="s">
        <v>271</v>
      </c>
      <c r="C132" s="140"/>
      <c r="D132" s="383" t="s">
        <v>425</v>
      </c>
      <c r="E132" s="74" t="s">
        <v>53</v>
      </c>
      <c r="F132" s="181">
        <f>F133+F134+F135+F136+F137</f>
        <v>3500</v>
      </c>
      <c r="G132" s="320"/>
      <c r="I132" s="178"/>
    </row>
    <row r="133" spans="1:9" s="87" customFormat="1" ht="14.25" customHeight="1" x14ac:dyDescent="0.2">
      <c r="A133" s="420"/>
      <c r="B133" s="421"/>
      <c r="C133" s="140"/>
      <c r="D133" s="417"/>
      <c r="E133" s="61" t="s">
        <v>4</v>
      </c>
      <c r="F133" s="185">
        <f>'Прил 7 Перечень мероприятий'!G59</f>
        <v>0</v>
      </c>
      <c r="G133" s="352"/>
      <c r="I133" s="178"/>
    </row>
    <row r="134" spans="1:9" s="87" customFormat="1" ht="14.25" customHeight="1" x14ac:dyDescent="0.2">
      <c r="A134" s="420"/>
      <c r="B134" s="421"/>
      <c r="C134" s="140"/>
      <c r="D134" s="417"/>
      <c r="E134" s="61" t="s">
        <v>52</v>
      </c>
      <c r="F134" s="185">
        <f>'Прил 7 Перечень мероприятий'!H59</f>
        <v>3500</v>
      </c>
      <c r="G134" s="352"/>
      <c r="I134" s="178"/>
    </row>
    <row r="135" spans="1:9" s="87" customFormat="1" ht="14.25" customHeight="1" x14ac:dyDescent="0.2">
      <c r="A135" s="420"/>
      <c r="B135" s="421"/>
      <c r="C135" s="140"/>
      <c r="D135" s="417"/>
      <c r="E135" s="61" t="s">
        <v>100</v>
      </c>
      <c r="F135" s="185">
        <f>'Прил 7 Перечень мероприятий'!I59</f>
        <v>0</v>
      </c>
      <c r="G135" s="352"/>
      <c r="I135" s="178"/>
    </row>
    <row r="136" spans="1:9" s="87" customFormat="1" ht="14.25" customHeight="1" x14ac:dyDescent="0.2">
      <c r="A136" s="420"/>
      <c r="B136" s="421"/>
      <c r="C136" s="140"/>
      <c r="D136" s="417"/>
      <c r="E136" s="61" t="s">
        <v>101</v>
      </c>
      <c r="F136" s="185">
        <f>'Прил 7 Перечень мероприятий'!J59</f>
        <v>0</v>
      </c>
      <c r="G136" s="352"/>
      <c r="I136" s="178"/>
    </row>
    <row r="137" spans="1:9" s="87" customFormat="1" ht="14.25" customHeight="1" x14ac:dyDescent="0.2">
      <c r="A137" s="420"/>
      <c r="B137" s="375"/>
      <c r="C137" s="140"/>
      <c r="D137" s="418"/>
      <c r="E137" s="61" t="s">
        <v>102</v>
      </c>
      <c r="F137" s="185">
        <f>'Прил 7 Перечень мероприятий'!K59</f>
        <v>0</v>
      </c>
      <c r="G137" s="321"/>
      <c r="I137" s="178"/>
    </row>
    <row r="138" spans="1:9" ht="19.5" customHeight="1" x14ac:dyDescent="0.2">
      <c r="A138" s="382" t="s">
        <v>82</v>
      </c>
      <c r="B138" s="382"/>
      <c r="C138" s="382"/>
      <c r="D138" s="382"/>
      <c r="E138" s="382"/>
      <c r="F138" s="382"/>
      <c r="G138" s="382"/>
      <c r="I138" s="179">
        <f>F144+F150+F156+F162+F168+F174+F180+F186+F192+F198+F204+F210+F216+F222+F228+F234+F246</f>
        <v>177557.46933999998</v>
      </c>
    </row>
    <row r="139" spans="1:9" ht="15" customHeight="1" x14ac:dyDescent="0.2">
      <c r="A139" s="459" t="s">
        <v>165</v>
      </c>
      <c r="B139" s="440"/>
      <c r="C139" s="443"/>
      <c r="D139" s="443"/>
      <c r="E139" s="413"/>
      <c r="F139" s="444"/>
      <c r="G139" s="265"/>
    </row>
    <row r="140" spans="1:9" ht="15" customHeight="1" x14ac:dyDescent="0.2">
      <c r="A140" s="441"/>
      <c r="B140" s="442"/>
      <c r="C140" s="443"/>
      <c r="D140" s="443"/>
      <c r="E140" s="414"/>
      <c r="F140" s="445"/>
      <c r="G140" s="265"/>
    </row>
    <row r="141" spans="1:9" ht="15" customHeight="1" x14ac:dyDescent="0.2">
      <c r="A141" s="441"/>
      <c r="B141" s="442"/>
      <c r="C141" s="443"/>
      <c r="D141" s="443"/>
      <c r="E141" s="414"/>
      <c r="F141" s="445"/>
      <c r="G141" s="265"/>
    </row>
    <row r="142" spans="1:9" ht="15" customHeight="1" x14ac:dyDescent="0.2">
      <c r="A142" s="441"/>
      <c r="B142" s="442"/>
      <c r="C142" s="443"/>
      <c r="D142" s="443"/>
      <c r="E142" s="414"/>
      <c r="F142" s="445"/>
      <c r="G142" s="265"/>
    </row>
    <row r="143" spans="1:9" ht="3" customHeight="1" x14ac:dyDescent="0.2">
      <c r="A143" s="441"/>
      <c r="B143" s="442"/>
      <c r="C143" s="443"/>
      <c r="D143" s="443"/>
      <c r="E143" s="414"/>
      <c r="F143" s="445"/>
      <c r="G143" s="265"/>
    </row>
    <row r="144" spans="1:9" ht="14.25" customHeight="1" x14ac:dyDescent="0.2">
      <c r="A144" s="394" t="s">
        <v>236</v>
      </c>
      <c r="B144" s="262" t="s">
        <v>166</v>
      </c>
      <c r="C144" s="390" t="s">
        <v>365</v>
      </c>
      <c r="D144" s="391"/>
      <c r="E144" s="73" t="s">
        <v>53</v>
      </c>
      <c r="F144" s="183">
        <f>SUM(F145:F149)</f>
        <v>133829.58189</v>
      </c>
      <c r="G144" s="265"/>
    </row>
    <row r="145" spans="1:7" ht="14.25" customHeight="1" x14ac:dyDescent="0.2">
      <c r="A145" s="389"/>
      <c r="B145" s="262"/>
      <c r="C145" s="392"/>
      <c r="D145" s="393"/>
      <c r="E145" s="72" t="s">
        <v>4</v>
      </c>
      <c r="F145" s="55">
        <f>'Прил 7 Перечень мероприятий'!G69</f>
        <v>25761.599999999999</v>
      </c>
      <c r="G145" s="265"/>
    </row>
    <row r="146" spans="1:7" ht="14.25" customHeight="1" x14ac:dyDescent="0.2">
      <c r="A146" s="389"/>
      <c r="B146" s="262"/>
      <c r="C146" s="392"/>
      <c r="D146" s="393"/>
      <c r="E146" s="72" t="s">
        <v>52</v>
      </c>
      <c r="F146" s="55">
        <f>'Прил 7 Перечень мероприятий'!H69</f>
        <v>24731.581890000001</v>
      </c>
      <c r="G146" s="265"/>
    </row>
    <row r="147" spans="1:7" ht="14.25" customHeight="1" x14ac:dyDescent="0.2">
      <c r="A147" s="389"/>
      <c r="B147" s="262"/>
      <c r="C147" s="392"/>
      <c r="D147" s="393"/>
      <c r="E147" s="72" t="s">
        <v>100</v>
      </c>
      <c r="F147" s="55">
        <f>'Прил 7 Перечень мероприятий'!I69</f>
        <v>27778.799999999999</v>
      </c>
      <c r="G147" s="265"/>
    </row>
    <row r="148" spans="1:7" ht="14.25" customHeight="1" x14ac:dyDescent="0.2">
      <c r="A148" s="389"/>
      <c r="B148" s="262"/>
      <c r="C148" s="392"/>
      <c r="D148" s="393"/>
      <c r="E148" s="72" t="s">
        <v>101</v>
      </c>
      <c r="F148" s="55">
        <f>'Прил 7 Перечень мероприятий'!J69</f>
        <v>27778.799999999999</v>
      </c>
      <c r="G148" s="265"/>
    </row>
    <row r="149" spans="1:7" ht="14.25" customHeight="1" x14ac:dyDescent="0.2">
      <c r="A149" s="389"/>
      <c r="B149" s="262"/>
      <c r="C149" s="392"/>
      <c r="D149" s="393"/>
      <c r="E149" s="72" t="s">
        <v>102</v>
      </c>
      <c r="F149" s="55">
        <f>'Прил 7 Перечень мероприятий'!K69</f>
        <v>27778.799999999999</v>
      </c>
      <c r="G149" s="265"/>
    </row>
    <row r="150" spans="1:7" ht="14.25" customHeight="1" x14ac:dyDescent="0.2">
      <c r="A150" s="388" t="s">
        <v>254</v>
      </c>
      <c r="B150" s="262" t="s">
        <v>166</v>
      </c>
      <c r="C150" s="396" t="s">
        <v>340</v>
      </c>
      <c r="D150" s="397"/>
      <c r="E150" s="73" t="s">
        <v>53</v>
      </c>
      <c r="F150" s="183">
        <f>SUM(F151:F155)</f>
        <v>6221.1</v>
      </c>
      <c r="G150" s="265"/>
    </row>
    <row r="151" spans="1:7" ht="14.25" customHeight="1" x14ac:dyDescent="0.2">
      <c r="A151" s="389"/>
      <c r="B151" s="262"/>
      <c r="C151" s="398"/>
      <c r="D151" s="399"/>
      <c r="E151" s="72" t="s">
        <v>4</v>
      </c>
      <c r="F151" s="55">
        <f>'Прил 7 Перечень мероприятий'!G71</f>
        <v>1323.5</v>
      </c>
      <c r="G151" s="265"/>
    </row>
    <row r="152" spans="1:7" ht="14.25" customHeight="1" x14ac:dyDescent="0.2">
      <c r="A152" s="389"/>
      <c r="B152" s="262"/>
      <c r="C152" s="398"/>
      <c r="D152" s="399"/>
      <c r="E152" s="72" t="s">
        <v>52</v>
      </c>
      <c r="F152" s="55">
        <f>'Прил 7 Перечень мероприятий'!H71</f>
        <v>1200.4000000000001</v>
      </c>
      <c r="G152" s="265"/>
    </row>
    <row r="153" spans="1:7" ht="14.25" customHeight="1" x14ac:dyDescent="0.2">
      <c r="A153" s="389"/>
      <c r="B153" s="262"/>
      <c r="C153" s="398"/>
      <c r="D153" s="399"/>
      <c r="E153" s="72" t="s">
        <v>100</v>
      </c>
      <c r="F153" s="55">
        <f>'Прил 7 Перечень мероприятий'!I71</f>
        <v>1200.4000000000001</v>
      </c>
      <c r="G153" s="265"/>
    </row>
    <row r="154" spans="1:7" ht="14.25" customHeight="1" x14ac:dyDescent="0.2">
      <c r="A154" s="389"/>
      <c r="B154" s="262"/>
      <c r="C154" s="398"/>
      <c r="D154" s="399"/>
      <c r="E154" s="72" t="s">
        <v>101</v>
      </c>
      <c r="F154" s="55">
        <f>'Прил 7 Перечень мероприятий'!J71</f>
        <v>1248.4000000000001</v>
      </c>
      <c r="G154" s="265"/>
    </row>
    <row r="155" spans="1:7" ht="14.25" customHeight="1" x14ac:dyDescent="0.2">
      <c r="A155" s="389"/>
      <c r="B155" s="262"/>
      <c r="C155" s="398"/>
      <c r="D155" s="399"/>
      <c r="E155" s="72" t="s">
        <v>102</v>
      </c>
      <c r="F155" s="55">
        <f>'Прил 7 Перечень мероприятий'!K71</f>
        <v>1248.4000000000001</v>
      </c>
      <c r="G155" s="265"/>
    </row>
    <row r="156" spans="1:7" ht="11.25" customHeight="1" x14ac:dyDescent="0.2">
      <c r="A156" s="388" t="s">
        <v>255</v>
      </c>
      <c r="B156" s="262" t="s">
        <v>166</v>
      </c>
      <c r="C156" s="390" t="s">
        <v>217</v>
      </c>
      <c r="D156" s="391"/>
      <c r="E156" s="76" t="s">
        <v>53</v>
      </c>
      <c r="F156" s="183">
        <f>SUM(F157:F161)</f>
        <v>662.2</v>
      </c>
      <c r="G156" s="265"/>
    </row>
    <row r="157" spans="1:7" ht="11.25" customHeight="1" x14ac:dyDescent="0.2">
      <c r="A157" s="389"/>
      <c r="B157" s="262"/>
      <c r="C157" s="392"/>
      <c r="D157" s="393"/>
      <c r="E157" s="75" t="s">
        <v>4</v>
      </c>
      <c r="F157" s="55">
        <f>'Прил 7 Перечень мероприятий'!G73</f>
        <v>304.10000000000002</v>
      </c>
      <c r="G157" s="265"/>
    </row>
    <row r="158" spans="1:7" ht="11.25" customHeight="1" x14ac:dyDescent="0.2">
      <c r="A158" s="389"/>
      <c r="B158" s="262"/>
      <c r="C158" s="392"/>
      <c r="D158" s="393"/>
      <c r="E158" s="75" t="s">
        <v>52</v>
      </c>
      <c r="F158" s="55">
        <f>'Прил 7 Перечень мероприятий'!H73</f>
        <v>304.10000000000002</v>
      </c>
      <c r="G158" s="265"/>
    </row>
    <row r="159" spans="1:7" ht="11.25" customHeight="1" x14ac:dyDescent="0.2">
      <c r="A159" s="389"/>
      <c r="B159" s="262"/>
      <c r="C159" s="392"/>
      <c r="D159" s="393"/>
      <c r="E159" s="75" t="s">
        <v>100</v>
      </c>
      <c r="F159" s="55">
        <f>'Прил 7 Перечень мероприятий'!I73</f>
        <v>18</v>
      </c>
      <c r="G159" s="265"/>
    </row>
    <row r="160" spans="1:7" ht="11.25" customHeight="1" x14ac:dyDescent="0.2">
      <c r="A160" s="389"/>
      <c r="B160" s="262"/>
      <c r="C160" s="392"/>
      <c r="D160" s="393"/>
      <c r="E160" s="75" t="s">
        <v>101</v>
      </c>
      <c r="F160" s="55">
        <f>'Прил 7 Перечень мероприятий'!J73</f>
        <v>18</v>
      </c>
      <c r="G160" s="265"/>
    </row>
    <row r="161" spans="1:7" ht="11.25" customHeight="1" x14ac:dyDescent="0.2">
      <c r="A161" s="389"/>
      <c r="B161" s="262"/>
      <c r="C161" s="392"/>
      <c r="D161" s="393"/>
      <c r="E161" s="75" t="s">
        <v>102</v>
      </c>
      <c r="F161" s="55">
        <f>'Прил 7 Перечень мероприятий'!K73</f>
        <v>18</v>
      </c>
      <c r="G161" s="265"/>
    </row>
    <row r="162" spans="1:7" ht="15.75" customHeight="1" x14ac:dyDescent="0.2">
      <c r="A162" s="403" t="s">
        <v>256</v>
      </c>
      <c r="B162" s="262" t="s">
        <v>166</v>
      </c>
      <c r="C162" s="390" t="s">
        <v>292</v>
      </c>
      <c r="D162" s="391"/>
      <c r="E162" s="76" t="s">
        <v>53</v>
      </c>
      <c r="F162" s="183">
        <f>SUM(F163:F167)</f>
        <v>23024.36</v>
      </c>
      <c r="G162" s="265"/>
    </row>
    <row r="163" spans="1:7" ht="15.75" customHeight="1" x14ac:dyDescent="0.2">
      <c r="A163" s="404"/>
      <c r="B163" s="262"/>
      <c r="C163" s="392"/>
      <c r="D163" s="393"/>
      <c r="E163" s="75" t="s">
        <v>4</v>
      </c>
      <c r="F163" s="55">
        <f>'Прил 7 Перечень мероприятий'!G75</f>
        <v>4820.3599999999997</v>
      </c>
      <c r="G163" s="265"/>
    </row>
    <row r="164" spans="1:7" ht="15.75" customHeight="1" x14ac:dyDescent="0.2">
      <c r="A164" s="404"/>
      <c r="B164" s="262"/>
      <c r="C164" s="392"/>
      <c r="D164" s="393"/>
      <c r="E164" s="75" t="s">
        <v>52</v>
      </c>
      <c r="F164" s="55">
        <f>'Прил 7 Перечень мероприятий'!H75</f>
        <v>4944.6000000000004</v>
      </c>
      <c r="G164" s="265"/>
    </row>
    <row r="165" spans="1:7" ht="15.75" customHeight="1" x14ac:dyDescent="0.2">
      <c r="A165" s="404"/>
      <c r="B165" s="262"/>
      <c r="C165" s="392"/>
      <c r="D165" s="393"/>
      <c r="E165" s="75" t="s">
        <v>100</v>
      </c>
      <c r="F165" s="55">
        <f>'Прил 7 Перечень мероприятий'!I75</f>
        <v>4420.6000000000004</v>
      </c>
      <c r="G165" s="265"/>
    </row>
    <row r="166" spans="1:7" ht="15.75" customHeight="1" x14ac:dyDescent="0.2">
      <c r="A166" s="404"/>
      <c r="B166" s="262"/>
      <c r="C166" s="392"/>
      <c r="D166" s="393"/>
      <c r="E166" s="75" t="s">
        <v>101</v>
      </c>
      <c r="F166" s="55">
        <f>'Прил 7 Перечень мероприятий'!J75</f>
        <v>4419.3999999999996</v>
      </c>
      <c r="G166" s="265"/>
    </row>
    <row r="167" spans="1:7" ht="15.75" customHeight="1" x14ac:dyDescent="0.2">
      <c r="A167" s="404"/>
      <c r="B167" s="262"/>
      <c r="C167" s="392"/>
      <c r="D167" s="393"/>
      <c r="E167" s="75" t="s">
        <v>102</v>
      </c>
      <c r="F167" s="55">
        <f>'Прил 7 Перечень мероприятий'!K75</f>
        <v>4419.3999999999996</v>
      </c>
      <c r="G167" s="265"/>
    </row>
    <row r="168" spans="1:7" ht="16.5" customHeight="1" x14ac:dyDescent="0.2">
      <c r="A168" s="388" t="s">
        <v>257</v>
      </c>
      <c r="B168" s="262" t="s">
        <v>166</v>
      </c>
      <c r="C168" s="390" t="s">
        <v>364</v>
      </c>
      <c r="D168" s="391"/>
      <c r="E168" s="76" t="s">
        <v>53</v>
      </c>
      <c r="F168" s="183">
        <f>SUM(F169:F173)</f>
        <v>1399.1</v>
      </c>
      <c r="G168" s="265"/>
    </row>
    <row r="169" spans="1:7" ht="16.5" customHeight="1" x14ac:dyDescent="0.2">
      <c r="A169" s="389"/>
      <c r="B169" s="262"/>
      <c r="C169" s="392"/>
      <c r="D169" s="393"/>
      <c r="E169" s="75" t="s">
        <v>4</v>
      </c>
      <c r="F169" s="55">
        <f>'Прил 7 Перечень мероприятий'!G77</f>
        <v>924.5</v>
      </c>
      <c r="G169" s="265"/>
    </row>
    <row r="170" spans="1:7" ht="16.5" customHeight="1" x14ac:dyDescent="0.2">
      <c r="A170" s="389"/>
      <c r="B170" s="262"/>
      <c r="C170" s="392"/>
      <c r="D170" s="393"/>
      <c r="E170" s="75" t="s">
        <v>52</v>
      </c>
      <c r="F170" s="55">
        <f>'Прил 7 Перечень мероприятий'!H77</f>
        <v>429.6</v>
      </c>
      <c r="G170" s="265"/>
    </row>
    <row r="171" spans="1:7" ht="16.5" customHeight="1" x14ac:dyDescent="0.2">
      <c r="A171" s="389"/>
      <c r="B171" s="262"/>
      <c r="C171" s="392"/>
      <c r="D171" s="393"/>
      <c r="E171" s="75" t="s">
        <v>100</v>
      </c>
      <c r="F171" s="55">
        <f>'Прил 7 Перечень мероприятий'!I77</f>
        <v>15</v>
      </c>
      <c r="G171" s="265"/>
    </row>
    <row r="172" spans="1:7" ht="16.5" customHeight="1" x14ac:dyDescent="0.2">
      <c r="A172" s="389"/>
      <c r="B172" s="262"/>
      <c r="C172" s="392"/>
      <c r="D172" s="393"/>
      <c r="E172" s="75" t="s">
        <v>101</v>
      </c>
      <c r="F172" s="55">
        <f>'Прил 7 Перечень мероприятий'!J77</f>
        <v>15</v>
      </c>
      <c r="G172" s="265"/>
    </row>
    <row r="173" spans="1:7" ht="15" customHeight="1" x14ac:dyDescent="0.2">
      <c r="A173" s="389"/>
      <c r="B173" s="262"/>
      <c r="C173" s="392"/>
      <c r="D173" s="393"/>
      <c r="E173" s="75" t="s">
        <v>102</v>
      </c>
      <c r="F173" s="55">
        <f>'Прил 7 Перечень мероприятий'!K77</f>
        <v>15</v>
      </c>
      <c r="G173" s="265"/>
    </row>
    <row r="174" spans="1:7" ht="12.75" customHeight="1" x14ac:dyDescent="0.2">
      <c r="A174" s="388" t="s">
        <v>258</v>
      </c>
      <c r="B174" s="262" t="s">
        <v>166</v>
      </c>
      <c r="C174" s="390" t="s">
        <v>192</v>
      </c>
      <c r="D174" s="391"/>
      <c r="E174" s="76" t="s">
        <v>53</v>
      </c>
      <c r="F174" s="183">
        <f>SUM(F175:F179)</f>
        <v>35</v>
      </c>
      <c r="G174" s="265"/>
    </row>
    <row r="175" spans="1:7" ht="12.75" customHeight="1" x14ac:dyDescent="0.2">
      <c r="A175" s="389"/>
      <c r="B175" s="262"/>
      <c r="C175" s="392"/>
      <c r="D175" s="393"/>
      <c r="E175" s="75" t="s">
        <v>4</v>
      </c>
      <c r="F175" s="55">
        <f>'Прил 7 Перечень мероприятий'!G79</f>
        <v>25</v>
      </c>
      <c r="G175" s="265"/>
    </row>
    <row r="176" spans="1:7" ht="12.75" customHeight="1" x14ac:dyDescent="0.2">
      <c r="A176" s="389"/>
      <c r="B176" s="262"/>
      <c r="C176" s="392"/>
      <c r="D176" s="393"/>
      <c r="E176" s="75" t="s">
        <v>52</v>
      </c>
      <c r="F176" s="55">
        <f>'Прил 7 Перечень мероприятий'!H79</f>
        <v>10</v>
      </c>
      <c r="G176" s="265"/>
    </row>
    <row r="177" spans="1:7" ht="12.75" customHeight="1" x14ac:dyDescent="0.2">
      <c r="A177" s="389"/>
      <c r="B177" s="262"/>
      <c r="C177" s="392"/>
      <c r="D177" s="393"/>
      <c r="E177" s="75" t="s">
        <v>100</v>
      </c>
      <c r="F177" s="55">
        <f>'Прил 7 Перечень мероприятий'!I79</f>
        <v>0</v>
      </c>
      <c r="G177" s="265"/>
    </row>
    <row r="178" spans="1:7" ht="12.75" customHeight="1" x14ac:dyDescent="0.2">
      <c r="A178" s="389"/>
      <c r="B178" s="262"/>
      <c r="C178" s="392"/>
      <c r="D178" s="393"/>
      <c r="E178" s="75" t="s">
        <v>101</v>
      </c>
      <c r="F178" s="55">
        <f>'Прил 7 Перечень мероприятий'!J79</f>
        <v>0</v>
      </c>
      <c r="G178" s="265"/>
    </row>
    <row r="179" spans="1:7" ht="12.75" customHeight="1" x14ac:dyDescent="0.2">
      <c r="A179" s="389"/>
      <c r="B179" s="262"/>
      <c r="C179" s="392"/>
      <c r="D179" s="393"/>
      <c r="E179" s="75" t="s">
        <v>102</v>
      </c>
      <c r="F179" s="55">
        <f>'Прил 7 Перечень мероприятий'!K79</f>
        <v>0</v>
      </c>
      <c r="G179" s="265"/>
    </row>
    <row r="180" spans="1:7" ht="15.75" customHeight="1" x14ac:dyDescent="0.2">
      <c r="A180" s="388" t="s">
        <v>178</v>
      </c>
      <c r="B180" s="262" t="s">
        <v>166</v>
      </c>
      <c r="C180" s="390" t="s">
        <v>294</v>
      </c>
      <c r="D180" s="391"/>
      <c r="E180" s="73" t="s">
        <v>53</v>
      </c>
      <c r="F180" s="183">
        <f>SUM(F181:F185)</f>
        <v>220.5</v>
      </c>
      <c r="G180" s="265"/>
    </row>
    <row r="181" spans="1:7" ht="15.75" customHeight="1" x14ac:dyDescent="0.2">
      <c r="A181" s="389"/>
      <c r="B181" s="262"/>
      <c r="C181" s="392"/>
      <c r="D181" s="393"/>
      <c r="E181" s="72" t="s">
        <v>4</v>
      </c>
      <c r="F181" s="55">
        <f>'Прил 7 Перечень мероприятий'!G81</f>
        <v>29.5</v>
      </c>
      <c r="G181" s="265"/>
    </row>
    <row r="182" spans="1:7" ht="15.75" customHeight="1" x14ac:dyDescent="0.2">
      <c r="A182" s="389"/>
      <c r="B182" s="262"/>
      <c r="C182" s="392"/>
      <c r="D182" s="393"/>
      <c r="E182" s="72" t="s">
        <v>52</v>
      </c>
      <c r="F182" s="55">
        <f>'Прил 7 Перечень мероприятий'!H81</f>
        <v>35</v>
      </c>
      <c r="G182" s="265"/>
    </row>
    <row r="183" spans="1:7" ht="15.75" customHeight="1" x14ac:dyDescent="0.2">
      <c r="A183" s="389"/>
      <c r="B183" s="262"/>
      <c r="C183" s="392"/>
      <c r="D183" s="393"/>
      <c r="E183" s="72" t="s">
        <v>100</v>
      </c>
      <c r="F183" s="55">
        <f>'Прил 7 Перечень мероприятий'!I81</f>
        <v>52</v>
      </c>
      <c r="G183" s="265"/>
    </row>
    <row r="184" spans="1:7" ht="15.75" customHeight="1" x14ac:dyDescent="0.2">
      <c r="A184" s="389"/>
      <c r="B184" s="262"/>
      <c r="C184" s="392"/>
      <c r="D184" s="393"/>
      <c r="E184" s="72" t="s">
        <v>101</v>
      </c>
      <c r="F184" s="55">
        <f>'Прил 7 Перечень мероприятий'!J81</f>
        <v>52</v>
      </c>
      <c r="G184" s="265"/>
    </row>
    <row r="185" spans="1:7" ht="15.75" customHeight="1" x14ac:dyDescent="0.2">
      <c r="A185" s="389"/>
      <c r="B185" s="262"/>
      <c r="C185" s="392"/>
      <c r="D185" s="393"/>
      <c r="E185" s="72" t="s">
        <v>102</v>
      </c>
      <c r="F185" s="55">
        <f>'Прил 7 Перечень мероприятий'!K81</f>
        <v>52</v>
      </c>
      <c r="G185" s="265"/>
    </row>
    <row r="186" spans="1:7" ht="15" customHeight="1" x14ac:dyDescent="0.2">
      <c r="A186" s="388" t="s">
        <v>269</v>
      </c>
      <c r="B186" s="262" t="s">
        <v>166</v>
      </c>
      <c r="C186" s="390" t="s">
        <v>362</v>
      </c>
      <c r="D186" s="391"/>
      <c r="E186" s="73" t="s">
        <v>53</v>
      </c>
      <c r="F186" s="183">
        <f>SUM(F187:F191)</f>
        <v>236</v>
      </c>
      <c r="G186" s="265"/>
    </row>
    <row r="187" spans="1:7" ht="15" customHeight="1" x14ac:dyDescent="0.2">
      <c r="A187" s="389"/>
      <c r="B187" s="262"/>
      <c r="C187" s="392"/>
      <c r="D187" s="393"/>
      <c r="E187" s="72" t="s">
        <v>4</v>
      </c>
      <c r="F187" s="55">
        <f>'Прил 7 Перечень мероприятий'!G83</f>
        <v>80</v>
      </c>
      <c r="G187" s="265"/>
    </row>
    <row r="188" spans="1:7" ht="15" customHeight="1" x14ac:dyDescent="0.2">
      <c r="A188" s="389"/>
      <c r="B188" s="262"/>
      <c r="C188" s="392"/>
      <c r="D188" s="393"/>
      <c r="E188" s="72" t="s">
        <v>52</v>
      </c>
      <c r="F188" s="55">
        <f>'Прил 7 Перечень мероприятий'!H83</f>
        <v>66</v>
      </c>
      <c r="G188" s="265"/>
    </row>
    <row r="189" spans="1:7" ht="15" customHeight="1" x14ac:dyDescent="0.2">
      <c r="A189" s="389"/>
      <c r="B189" s="262"/>
      <c r="C189" s="392"/>
      <c r="D189" s="393"/>
      <c r="E189" s="72" t="s">
        <v>100</v>
      </c>
      <c r="F189" s="55">
        <f>'Прил 7 Перечень мероприятий'!I83</f>
        <v>30</v>
      </c>
      <c r="G189" s="265"/>
    </row>
    <row r="190" spans="1:7" ht="15" customHeight="1" x14ac:dyDescent="0.2">
      <c r="A190" s="389"/>
      <c r="B190" s="262"/>
      <c r="C190" s="392"/>
      <c r="D190" s="393"/>
      <c r="E190" s="72" t="s">
        <v>101</v>
      </c>
      <c r="F190" s="55">
        <f>'Прил 7 Перечень мероприятий'!J83</f>
        <v>30</v>
      </c>
      <c r="G190" s="265"/>
    </row>
    <row r="191" spans="1:7" ht="15" customHeight="1" x14ac:dyDescent="0.2">
      <c r="A191" s="389"/>
      <c r="B191" s="262"/>
      <c r="C191" s="392"/>
      <c r="D191" s="393"/>
      <c r="E191" s="72" t="s">
        <v>102</v>
      </c>
      <c r="F191" s="55">
        <f>'Прил 7 Перечень мероприятий'!K83</f>
        <v>30</v>
      </c>
      <c r="G191" s="265"/>
    </row>
    <row r="192" spans="1:7" ht="24.75" customHeight="1" x14ac:dyDescent="0.2">
      <c r="A192" s="388" t="s">
        <v>259</v>
      </c>
      <c r="B192" s="262" t="s">
        <v>166</v>
      </c>
      <c r="C192" s="463" t="s">
        <v>427</v>
      </c>
      <c r="D192" s="464"/>
      <c r="E192" s="73" t="s">
        <v>53</v>
      </c>
      <c r="F192" s="183">
        <f>SUM(F193:F197)</f>
        <v>1689.2350000000001</v>
      </c>
      <c r="G192" s="265"/>
    </row>
    <row r="193" spans="1:7" ht="15.75" customHeight="1" x14ac:dyDescent="0.2">
      <c r="A193" s="389"/>
      <c r="B193" s="262"/>
      <c r="C193" s="465"/>
      <c r="D193" s="466"/>
      <c r="E193" s="72" t="s">
        <v>4</v>
      </c>
      <c r="F193" s="55">
        <f>'Прил 7 Перечень мероприятий'!G85</f>
        <v>1077.8679999999999</v>
      </c>
      <c r="G193" s="265"/>
    </row>
    <row r="194" spans="1:7" ht="15.75" customHeight="1" x14ac:dyDescent="0.2">
      <c r="A194" s="389"/>
      <c r="B194" s="262"/>
      <c r="C194" s="465"/>
      <c r="D194" s="466"/>
      <c r="E194" s="72" t="s">
        <v>52</v>
      </c>
      <c r="F194" s="55">
        <f>'Прил 7 Перечень мероприятий'!H85</f>
        <v>350.66699999999997</v>
      </c>
      <c r="G194" s="265"/>
    </row>
    <row r="195" spans="1:7" ht="15.75" customHeight="1" x14ac:dyDescent="0.2">
      <c r="A195" s="389"/>
      <c r="B195" s="262"/>
      <c r="C195" s="465"/>
      <c r="D195" s="466"/>
      <c r="E195" s="72" t="s">
        <v>100</v>
      </c>
      <c r="F195" s="55">
        <f>'Прил 7 Перечень мероприятий'!I85</f>
        <v>86.9</v>
      </c>
      <c r="G195" s="265"/>
    </row>
    <row r="196" spans="1:7" ht="15.75" customHeight="1" x14ac:dyDescent="0.2">
      <c r="A196" s="389"/>
      <c r="B196" s="262"/>
      <c r="C196" s="465"/>
      <c r="D196" s="466"/>
      <c r="E196" s="72" t="s">
        <v>101</v>
      </c>
      <c r="F196" s="55">
        <f>'Прил 7 Перечень мероприятий'!J85</f>
        <v>86.9</v>
      </c>
      <c r="G196" s="265"/>
    </row>
    <row r="197" spans="1:7" ht="15.75" customHeight="1" x14ac:dyDescent="0.2">
      <c r="A197" s="389"/>
      <c r="B197" s="262"/>
      <c r="C197" s="465"/>
      <c r="D197" s="466"/>
      <c r="E197" s="72" t="s">
        <v>102</v>
      </c>
      <c r="F197" s="55">
        <f>'Прил 7 Перечень мероприятий'!K85</f>
        <v>86.9</v>
      </c>
      <c r="G197" s="265"/>
    </row>
    <row r="198" spans="1:7" x14ac:dyDescent="0.2">
      <c r="A198" s="394" t="s">
        <v>260</v>
      </c>
      <c r="B198" s="262" t="s">
        <v>166</v>
      </c>
      <c r="C198" s="390" t="s">
        <v>232</v>
      </c>
      <c r="D198" s="391"/>
      <c r="E198" s="73" t="s">
        <v>53</v>
      </c>
      <c r="F198" s="183">
        <f>SUM(F199:F203)</f>
        <v>2183.6136799999999</v>
      </c>
      <c r="G198" s="265"/>
    </row>
    <row r="199" spans="1:7" x14ac:dyDescent="0.2">
      <c r="A199" s="389"/>
      <c r="B199" s="262"/>
      <c r="C199" s="392"/>
      <c r="D199" s="393"/>
      <c r="E199" s="72" t="s">
        <v>4</v>
      </c>
      <c r="F199" s="55">
        <f>'Прил 7 Перечень мероприятий'!G87</f>
        <v>284.01367999999997</v>
      </c>
      <c r="G199" s="265"/>
    </row>
    <row r="200" spans="1:7" x14ac:dyDescent="0.2">
      <c r="A200" s="389"/>
      <c r="B200" s="262"/>
      <c r="C200" s="392"/>
      <c r="D200" s="393"/>
      <c r="E200" s="72" t="s">
        <v>52</v>
      </c>
      <c r="F200" s="55">
        <f>'Прил 7 Перечень мероприятий'!H87</f>
        <v>999.6</v>
      </c>
      <c r="G200" s="265"/>
    </row>
    <row r="201" spans="1:7" x14ac:dyDescent="0.2">
      <c r="A201" s="389"/>
      <c r="B201" s="262"/>
      <c r="C201" s="392"/>
      <c r="D201" s="393"/>
      <c r="E201" s="72" t="s">
        <v>100</v>
      </c>
      <c r="F201" s="55">
        <f>'Прил 7 Перечень мероприятий'!I87</f>
        <v>300</v>
      </c>
      <c r="G201" s="265"/>
    </row>
    <row r="202" spans="1:7" x14ac:dyDescent="0.2">
      <c r="A202" s="389"/>
      <c r="B202" s="262"/>
      <c r="C202" s="392"/>
      <c r="D202" s="393"/>
      <c r="E202" s="72" t="s">
        <v>101</v>
      </c>
      <c r="F202" s="55">
        <f>'Прил 7 Перечень мероприятий'!J87</f>
        <v>300</v>
      </c>
      <c r="G202" s="265"/>
    </row>
    <row r="203" spans="1:7" x14ac:dyDescent="0.2">
      <c r="A203" s="389"/>
      <c r="B203" s="262"/>
      <c r="C203" s="392"/>
      <c r="D203" s="393"/>
      <c r="E203" s="72" t="s">
        <v>102</v>
      </c>
      <c r="F203" s="55">
        <f>'Прил 7 Перечень мероприятий'!K87</f>
        <v>300</v>
      </c>
      <c r="G203" s="265"/>
    </row>
    <row r="204" spans="1:7" x14ac:dyDescent="0.2">
      <c r="A204" s="388" t="s">
        <v>179</v>
      </c>
      <c r="B204" s="262" t="s">
        <v>166</v>
      </c>
      <c r="C204" s="396" t="s">
        <v>341</v>
      </c>
      <c r="D204" s="397"/>
      <c r="E204" s="73" t="s">
        <v>53</v>
      </c>
      <c r="F204" s="183">
        <f>SUM(F205:F209)</f>
        <v>4049.5329999999999</v>
      </c>
      <c r="G204" s="265"/>
    </row>
    <row r="205" spans="1:7" x14ac:dyDescent="0.2">
      <c r="A205" s="389"/>
      <c r="B205" s="262"/>
      <c r="C205" s="398"/>
      <c r="D205" s="399"/>
      <c r="E205" s="72" t="s">
        <v>4</v>
      </c>
      <c r="F205" s="55">
        <f>'Прил 7 Перечень мероприятий'!G89</f>
        <v>180.6</v>
      </c>
      <c r="G205" s="265"/>
    </row>
    <row r="206" spans="1:7" x14ac:dyDescent="0.2">
      <c r="A206" s="389"/>
      <c r="B206" s="262"/>
      <c r="C206" s="398"/>
      <c r="D206" s="399"/>
      <c r="E206" s="72" t="s">
        <v>52</v>
      </c>
      <c r="F206" s="55">
        <f>'Прил 7 Перечень мероприятий'!H89</f>
        <v>2968.933</v>
      </c>
      <c r="G206" s="265"/>
    </row>
    <row r="207" spans="1:7" x14ac:dyDescent="0.2">
      <c r="A207" s="389"/>
      <c r="B207" s="262"/>
      <c r="C207" s="398"/>
      <c r="D207" s="399"/>
      <c r="E207" s="72" t="s">
        <v>100</v>
      </c>
      <c r="F207" s="55">
        <f>'Прил 7 Перечень мероприятий'!I89</f>
        <v>300</v>
      </c>
      <c r="G207" s="265"/>
    </row>
    <row r="208" spans="1:7" x14ac:dyDescent="0.2">
      <c r="A208" s="389"/>
      <c r="B208" s="262"/>
      <c r="C208" s="398"/>
      <c r="D208" s="399"/>
      <c r="E208" s="72" t="s">
        <v>101</v>
      </c>
      <c r="F208" s="55">
        <f>'Прил 7 Перечень мероприятий'!J89</f>
        <v>300</v>
      </c>
      <c r="G208" s="265"/>
    </row>
    <row r="209" spans="1:7" x14ac:dyDescent="0.2">
      <c r="A209" s="389"/>
      <c r="B209" s="285"/>
      <c r="C209" s="398"/>
      <c r="D209" s="399"/>
      <c r="E209" s="84" t="s">
        <v>102</v>
      </c>
      <c r="F209" s="184">
        <f>'Прил 7 Перечень мероприятий'!K89</f>
        <v>300</v>
      </c>
      <c r="G209" s="265"/>
    </row>
    <row r="210" spans="1:7" x14ac:dyDescent="0.2">
      <c r="A210" s="429" t="s">
        <v>261</v>
      </c>
      <c r="B210" s="320" t="s">
        <v>166</v>
      </c>
      <c r="C210" s="85"/>
      <c r="D210" s="455" t="s">
        <v>426</v>
      </c>
      <c r="E210" s="74" t="s">
        <v>53</v>
      </c>
      <c r="F210" s="181">
        <f>SUM(F211:F215)</f>
        <v>976.17449999999997</v>
      </c>
      <c r="G210" s="320"/>
    </row>
    <row r="211" spans="1:7" x14ac:dyDescent="0.2">
      <c r="A211" s="453"/>
      <c r="B211" s="352"/>
      <c r="C211" s="85"/>
      <c r="D211" s="456"/>
      <c r="E211" s="61" t="s">
        <v>4</v>
      </c>
      <c r="F211" s="185">
        <f>'Прил 7 Перечень мероприятий'!G91</f>
        <v>180</v>
      </c>
      <c r="G211" s="352"/>
    </row>
    <row r="212" spans="1:7" x14ac:dyDescent="0.2">
      <c r="A212" s="453"/>
      <c r="B212" s="352"/>
      <c r="C212" s="85"/>
      <c r="D212" s="456"/>
      <c r="E212" s="61" t="s">
        <v>52</v>
      </c>
      <c r="F212" s="185">
        <f>'Прил 7 Перечень мероприятий'!H91</f>
        <v>196.17449999999999</v>
      </c>
      <c r="G212" s="352"/>
    </row>
    <row r="213" spans="1:7" x14ac:dyDescent="0.2">
      <c r="A213" s="453"/>
      <c r="B213" s="352"/>
      <c r="C213" s="85"/>
      <c r="D213" s="456"/>
      <c r="E213" s="61" t="s">
        <v>100</v>
      </c>
      <c r="F213" s="185">
        <f>'Прил 7 Перечень мероприятий'!I91</f>
        <v>200</v>
      </c>
      <c r="G213" s="352"/>
    </row>
    <row r="214" spans="1:7" x14ac:dyDescent="0.2">
      <c r="A214" s="453"/>
      <c r="B214" s="352"/>
      <c r="C214" s="85"/>
      <c r="D214" s="456"/>
      <c r="E214" s="61" t="s">
        <v>101</v>
      </c>
      <c r="F214" s="185">
        <f>'Прил 7 Перечень мероприятий'!J91</f>
        <v>200</v>
      </c>
      <c r="G214" s="352"/>
    </row>
    <row r="215" spans="1:7" x14ac:dyDescent="0.2">
      <c r="A215" s="454"/>
      <c r="B215" s="321"/>
      <c r="C215" s="85"/>
      <c r="D215" s="457"/>
      <c r="E215" s="86" t="s">
        <v>102</v>
      </c>
      <c r="F215" s="185">
        <f>'Прил 7 Перечень мероприятий'!K91</f>
        <v>200</v>
      </c>
      <c r="G215" s="321"/>
    </row>
    <row r="216" spans="1:7" x14ac:dyDescent="0.2">
      <c r="A216" s="429" t="s">
        <v>200</v>
      </c>
      <c r="B216" s="320" t="s">
        <v>166</v>
      </c>
      <c r="C216" s="85"/>
      <c r="D216" s="455" t="s">
        <v>205</v>
      </c>
      <c r="E216" s="74" t="s">
        <v>53</v>
      </c>
      <c r="F216" s="181">
        <f>SUM(F217:F221)</f>
        <v>291.44900000000001</v>
      </c>
      <c r="G216" s="320"/>
    </row>
    <row r="217" spans="1:7" x14ac:dyDescent="0.2">
      <c r="A217" s="453"/>
      <c r="B217" s="352"/>
      <c r="C217" s="85"/>
      <c r="D217" s="456"/>
      <c r="E217" s="61" t="s">
        <v>4</v>
      </c>
      <c r="F217" s="185">
        <f>'Прил 7 Перечень мероприятий'!G93</f>
        <v>291.44900000000001</v>
      </c>
      <c r="G217" s="352"/>
    </row>
    <row r="218" spans="1:7" x14ac:dyDescent="0.2">
      <c r="A218" s="453"/>
      <c r="B218" s="352"/>
      <c r="C218" s="85"/>
      <c r="D218" s="456"/>
      <c r="E218" s="61" t="s">
        <v>52</v>
      </c>
      <c r="F218" s="185">
        <f>'Прил 7 Перечень мероприятий'!H93</f>
        <v>0</v>
      </c>
      <c r="G218" s="352"/>
    </row>
    <row r="219" spans="1:7" x14ac:dyDescent="0.2">
      <c r="A219" s="453"/>
      <c r="B219" s="352"/>
      <c r="C219" s="85"/>
      <c r="D219" s="456"/>
      <c r="E219" s="61" t="s">
        <v>100</v>
      </c>
      <c r="F219" s="185">
        <f>'Прил 7 Перечень мероприятий'!I93</f>
        <v>0</v>
      </c>
      <c r="G219" s="352"/>
    </row>
    <row r="220" spans="1:7" x14ac:dyDescent="0.2">
      <c r="A220" s="453"/>
      <c r="B220" s="352"/>
      <c r="C220" s="85"/>
      <c r="D220" s="456"/>
      <c r="E220" s="61" t="s">
        <v>101</v>
      </c>
      <c r="F220" s="185">
        <f>'Прил 7 Перечень мероприятий'!J93</f>
        <v>0</v>
      </c>
      <c r="G220" s="352"/>
    </row>
    <row r="221" spans="1:7" x14ac:dyDescent="0.2">
      <c r="A221" s="454"/>
      <c r="B221" s="321"/>
      <c r="C221" s="85"/>
      <c r="D221" s="457"/>
      <c r="E221" s="86" t="s">
        <v>102</v>
      </c>
      <c r="F221" s="185">
        <f>'Прил 7 Перечень мероприятий'!K93</f>
        <v>0</v>
      </c>
      <c r="G221" s="321"/>
    </row>
    <row r="222" spans="1:7" x14ac:dyDescent="0.2">
      <c r="A222" s="429" t="s">
        <v>203</v>
      </c>
      <c r="B222" s="320" t="s">
        <v>166</v>
      </c>
      <c r="C222" s="85"/>
      <c r="D222" s="455" t="s">
        <v>207</v>
      </c>
      <c r="E222" s="74" t="s">
        <v>53</v>
      </c>
      <c r="F222" s="181">
        <f>SUM(F223:F227)</f>
        <v>150.03200000000001</v>
      </c>
      <c r="G222" s="320"/>
    </row>
    <row r="223" spans="1:7" x14ac:dyDescent="0.2">
      <c r="A223" s="453"/>
      <c r="B223" s="352"/>
      <c r="C223" s="85"/>
      <c r="D223" s="456"/>
      <c r="E223" s="61" t="s">
        <v>4</v>
      </c>
      <c r="F223" s="185">
        <f>'Прил 7 Перечень мероприятий'!G95</f>
        <v>10.032</v>
      </c>
      <c r="G223" s="352"/>
    </row>
    <row r="224" spans="1:7" x14ac:dyDescent="0.2">
      <c r="A224" s="453"/>
      <c r="B224" s="352"/>
      <c r="C224" s="85"/>
      <c r="D224" s="456"/>
      <c r="E224" s="61" t="s">
        <v>52</v>
      </c>
      <c r="F224" s="185">
        <f>'Прил 7 Перечень мероприятий'!H95</f>
        <v>140</v>
      </c>
      <c r="G224" s="352"/>
    </row>
    <row r="225" spans="1:7" x14ac:dyDescent="0.2">
      <c r="A225" s="453"/>
      <c r="B225" s="352"/>
      <c r="C225" s="85"/>
      <c r="D225" s="456"/>
      <c r="E225" s="61" t="s">
        <v>100</v>
      </c>
      <c r="F225" s="185">
        <f>'Прил 7 Перечень мероприятий'!I95</f>
        <v>0</v>
      </c>
      <c r="G225" s="352"/>
    </row>
    <row r="226" spans="1:7" x14ac:dyDescent="0.2">
      <c r="A226" s="453"/>
      <c r="B226" s="352"/>
      <c r="C226" s="85"/>
      <c r="D226" s="456"/>
      <c r="E226" s="61" t="s">
        <v>101</v>
      </c>
      <c r="F226" s="185">
        <f>'Прил 7 Перечень мероприятий'!J95</f>
        <v>0</v>
      </c>
      <c r="G226" s="352"/>
    </row>
    <row r="227" spans="1:7" x14ac:dyDescent="0.2">
      <c r="A227" s="454"/>
      <c r="B227" s="321"/>
      <c r="C227" s="85"/>
      <c r="D227" s="457"/>
      <c r="E227" s="86" t="s">
        <v>102</v>
      </c>
      <c r="F227" s="185">
        <f>'Прил 7 Перечень мероприятий'!K95</f>
        <v>0</v>
      </c>
      <c r="G227" s="321"/>
    </row>
    <row r="228" spans="1:7" ht="11.25" customHeight="1" x14ac:dyDescent="0.2">
      <c r="A228" s="429" t="s">
        <v>204</v>
      </c>
      <c r="B228" s="320" t="s">
        <v>166</v>
      </c>
      <c r="C228" s="96"/>
      <c r="D228" s="455" t="s">
        <v>206</v>
      </c>
      <c r="E228" s="100" t="s">
        <v>53</v>
      </c>
      <c r="F228" s="181">
        <f>SUM(F229:F233)</f>
        <v>90</v>
      </c>
      <c r="G228" s="320"/>
    </row>
    <row r="229" spans="1:7" ht="11.25" customHeight="1" x14ac:dyDescent="0.2">
      <c r="A229" s="453"/>
      <c r="B229" s="352"/>
      <c r="C229" s="96"/>
      <c r="D229" s="456"/>
      <c r="E229" s="97" t="s">
        <v>4</v>
      </c>
      <c r="F229" s="185">
        <f>'Прил 7 Перечень мероприятий'!G97</f>
        <v>90</v>
      </c>
      <c r="G229" s="352"/>
    </row>
    <row r="230" spans="1:7" ht="11.25" customHeight="1" x14ac:dyDescent="0.2">
      <c r="A230" s="453"/>
      <c r="B230" s="352"/>
      <c r="C230" s="96"/>
      <c r="D230" s="456"/>
      <c r="E230" s="97" t="s">
        <v>52</v>
      </c>
      <c r="F230" s="185">
        <f>'Прил 7 Перечень мероприятий'!H97</f>
        <v>0</v>
      </c>
      <c r="G230" s="352"/>
    </row>
    <row r="231" spans="1:7" ht="11.25" customHeight="1" x14ac:dyDescent="0.2">
      <c r="A231" s="453"/>
      <c r="B231" s="352"/>
      <c r="C231" s="96"/>
      <c r="D231" s="456"/>
      <c r="E231" s="97" t="s">
        <v>100</v>
      </c>
      <c r="F231" s="185">
        <f>'Прил 7 Перечень мероприятий'!I97</f>
        <v>0</v>
      </c>
      <c r="G231" s="352"/>
    </row>
    <row r="232" spans="1:7" ht="11.25" customHeight="1" x14ac:dyDescent="0.2">
      <c r="A232" s="453"/>
      <c r="B232" s="352"/>
      <c r="C232" s="96"/>
      <c r="D232" s="456"/>
      <c r="E232" s="97" t="s">
        <v>101</v>
      </c>
      <c r="F232" s="185">
        <f>'Прил 7 Перечень мероприятий'!J97</f>
        <v>0</v>
      </c>
      <c r="G232" s="352"/>
    </row>
    <row r="233" spans="1:7" ht="11.25" customHeight="1" x14ac:dyDescent="0.2">
      <c r="A233" s="454"/>
      <c r="B233" s="321"/>
      <c r="C233" s="96"/>
      <c r="D233" s="457"/>
      <c r="E233" s="98" t="s">
        <v>102</v>
      </c>
      <c r="F233" s="185">
        <f>'Прил 7 Перечень мероприятий'!K97</f>
        <v>0</v>
      </c>
      <c r="G233" s="321"/>
    </row>
    <row r="234" spans="1:7" ht="10.5" customHeight="1" x14ac:dyDescent="0.2">
      <c r="A234" s="434" t="s">
        <v>274</v>
      </c>
      <c r="B234" s="375" t="s">
        <v>166</v>
      </c>
      <c r="C234" s="105"/>
      <c r="D234" s="383" t="s">
        <v>287</v>
      </c>
      <c r="E234" s="146" t="s">
        <v>53</v>
      </c>
      <c r="F234" s="186">
        <f>SUM(F235:F239)</f>
        <v>2499.5902700000001</v>
      </c>
      <c r="G234" s="320"/>
    </row>
    <row r="235" spans="1:7" ht="10.5" customHeight="1" x14ac:dyDescent="0.2">
      <c r="A235" s="460"/>
      <c r="B235" s="462"/>
      <c r="C235" s="105"/>
      <c r="D235" s="384"/>
      <c r="E235" s="144" t="s">
        <v>4</v>
      </c>
      <c r="F235" s="187">
        <f>'Прил 7 Перечень мероприятий'!G99</f>
        <v>2499.5902700000001</v>
      </c>
      <c r="G235" s="352"/>
    </row>
    <row r="236" spans="1:7" ht="10.5" customHeight="1" x14ac:dyDescent="0.2">
      <c r="A236" s="460"/>
      <c r="B236" s="462"/>
      <c r="C236" s="105"/>
      <c r="D236" s="384"/>
      <c r="E236" s="144" t="s">
        <v>52</v>
      </c>
      <c r="F236" s="187">
        <f>'Прил 7 Перечень мероприятий'!H99</f>
        <v>0</v>
      </c>
      <c r="G236" s="352"/>
    </row>
    <row r="237" spans="1:7" ht="10.5" customHeight="1" x14ac:dyDescent="0.2">
      <c r="A237" s="460"/>
      <c r="B237" s="462"/>
      <c r="C237" s="105"/>
      <c r="D237" s="384"/>
      <c r="E237" s="144" t="s">
        <v>100</v>
      </c>
      <c r="F237" s="187">
        <f>'Прил 7 Перечень мероприятий'!I95</f>
        <v>0</v>
      </c>
      <c r="G237" s="352"/>
    </row>
    <row r="238" spans="1:7" ht="10.5" customHeight="1" x14ac:dyDescent="0.2">
      <c r="A238" s="460"/>
      <c r="B238" s="462"/>
      <c r="C238" s="105"/>
      <c r="D238" s="384"/>
      <c r="E238" s="144" t="s">
        <v>101</v>
      </c>
      <c r="F238" s="187">
        <f>'Прил 7 Перечень мероприятий'!J95</f>
        <v>0</v>
      </c>
      <c r="G238" s="352"/>
    </row>
    <row r="239" spans="1:7" ht="10.5" customHeight="1" x14ac:dyDescent="0.2">
      <c r="A239" s="461"/>
      <c r="B239" s="376"/>
      <c r="C239" s="105"/>
      <c r="D239" s="385"/>
      <c r="E239" s="143" t="s">
        <v>102</v>
      </c>
      <c r="F239" s="187">
        <f>'Прил 7 Перечень мероприятий'!K95</f>
        <v>0</v>
      </c>
      <c r="G239" s="321"/>
    </row>
    <row r="240" spans="1:7" ht="11.25" customHeight="1" x14ac:dyDescent="0.2">
      <c r="A240" s="434" t="s">
        <v>382</v>
      </c>
      <c r="B240" s="375" t="s">
        <v>166</v>
      </c>
      <c r="C240" s="105"/>
      <c r="D240" s="383" t="s">
        <v>359</v>
      </c>
      <c r="E240" s="162" t="s">
        <v>53</v>
      </c>
      <c r="F240" s="186">
        <f>SUM(F241:F245)</f>
        <v>30</v>
      </c>
      <c r="G240" s="320"/>
    </row>
    <row r="241" spans="1:9" ht="12" customHeight="1" x14ac:dyDescent="0.2">
      <c r="A241" s="460"/>
      <c r="B241" s="462"/>
      <c r="C241" s="105"/>
      <c r="D241" s="384"/>
      <c r="E241" s="159" t="s">
        <v>4</v>
      </c>
      <c r="F241" s="187">
        <f>'Прил 7 Перечень мероприятий'!H101</f>
        <v>30</v>
      </c>
      <c r="G241" s="352"/>
    </row>
    <row r="242" spans="1:9" ht="12" customHeight="1" x14ac:dyDescent="0.2">
      <c r="A242" s="460"/>
      <c r="B242" s="462"/>
      <c r="C242" s="105"/>
      <c r="D242" s="384"/>
      <c r="E242" s="159" t="s">
        <v>52</v>
      </c>
      <c r="F242" s="187">
        <f>'Прил 7 Перечень мероприятий'!H97</f>
        <v>0</v>
      </c>
      <c r="G242" s="352"/>
    </row>
    <row r="243" spans="1:9" ht="12" customHeight="1" x14ac:dyDescent="0.2">
      <c r="A243" s="460"/>
      <c r="B243" s="462"/>
      <c r="C243" s="105"/>
      <c r="D243" s="384"/>
      <c r="E243" s="159" t="s">
        <v>100</v>
      </c>
      <c r="F243" s="187">
        <f>'Прил 7 Перечень мероприятий'!I97</f>
        <v>0</v>
      </c>
      <c r="G243" s="352"/>
    </row>
    <row r="244" spans="1:9" ht="12" customHeight="1" x14ac:dyDescent="0.2">
      <c r="A244" s="460"/>
      <c r="B244" s="462"/>
      <c r="C244" s="105"/>
      <c r="D244" s="384"/>
      <c r="E244" s="159" t="s">
        <v>101</v>
      </c>
      <c r="F244" s="187">
        <f>'Прил 7 Перечень мероприятий'!J97</f>
        <v>0</v>
      </c>
      <c r="G244" s="352"/>
    </row>
    <row r="245" spans="1:9" ht="12" customHeight="1" x14ac:dyDescent="0.2">
      <c r="A245" s="461"/>
      <c r="B245" s="376"/>
      <c r="C245" s="105"/>
      <c r="D245" s="385"/>
      <c r="E245" s="157" t="s">
        <v>102</v>
      </c>
      <c r="F245" s="187">
        <f>'Прил 7 Перечень мероприятий'!K97</f>
        <v>0</v>
      </c>
      <c r="G245" s="321"/>
    </row>
    <row r="246" spans="1:9" ht="11.25" customHeight="1" x14ac:dyDescent="0.2">
      <c r="A246" s="434" t="s">
        <v>387</v>
      </c>
      <c r="B246" s="375" t="s">
        <v>166</v>
      </c>
      <c r="C246" s="105"/>
      <c r="D246" s="383" t="s">
        <v>386</v>
      </c>
      <c r="E246" s="74" t="s">
        <v>53</v>
      </c>
      <c r="F246" s="186">
        <f>SUM(F247:F251)</f>
        <v>0</v>
      </c>
      <c r="G246" s="320"/>
    </row>
    <row r="247" spans="1:9" ht="12" customHeight="1" x14ac:dyDescent="0.2">
      <c r="A247" s="460"/>
      <c r="B247" s="462"/>
      <c r="C247" s="105"/>
      <c r="D247" s="384"/>
      <c r="E247" s="61" t="s">
        <v>4</v>
      </c>
      <c r="F247" s="187">
        <f>'Прил 7 Перечень мероприятий'!G103</f>
        <v>0</v>
      </c>
      <c r="G247" s="352"/>
    </row>
    <row r="248" spans="1:9" ht="12" customHeight="1" x14ac:dyDescent="0.2">
      <c r="A248" s="460"/>
      <c r="B248" s="462"/>
      <c r="C248" s="105"/>
      <c r="D248" s="384"/>
      <c r="E248" s="61" t="s">
        <v>52</v>
      </c>
      <c r="F248" s="187">
        <f>'Прил 7 Перечень мероприятий'!H103</f>
        <v>0</v>
      </c>
      <c r="G248" s="352"/>
    </row>
    <row r="249" spans="1:9" ht="12" customHeight="1" x14ac:dyDescent="0.2">
      <c r="A249" s="460"/>
      <c r="B249" s="462"/>
      <c r="C249" s="105"/>
      <c r="D249" s="384"/>
      <c r="E249" s="61" t="s">
        <v>100</v>
      </c>
      <c r="F249" s="187">
        <f>'Прил 7 Перечень мероприятий'!I103</f>
        <v>0</v>
      </c>
      <c r="G249" s="352"/>
    </row>
    <row r="250" spans="1:9" ht="12" customHeight="1" x14ac:dyDescent="0.2">
      <c r="A250" s="460"/>
      <c r="B250" s="462"/>
      <c r="C250" s="105"/>
      <c r="D250" s="384"/>
      <c r="E250" s="61" t="s">
        <v>101</v>
      </c>
      <c r="F250" s="187">
        <f>'Прил 7 Перечень мероприятий'!J103</f>
        <v>0</v>
      </c>
      <c r="G250" s="352"/>
    </row>
    <row r="251" spans="1:9" ht="12" customHeight="1" x14ac:dyDescent="0.2">
      <c r="A251" s="461"/>
      <c r="B251" s="376"/>
      <c r="C251" s="105"/>
      <c r="D251" s="385"/>
      <c r="E251" s="86" t="s">
        <v>102</v>
      </c>
      <c r="F251" s="187">
        <f>'Прил 7 Перечень мероприятий'!K103</f>
        <v>0</v>
      </c>
      <c r="G251" s="321"/>
    </row>
    <row r="252" spans="1:9" ht="21.75" customHeight="1" x14ac:dyDescent="0.2">
      <c r="A252" s="446" t="s">
        <v>103</v>
      </c>
      <c r="B252" s="447"/>
      <c r="C252" s="447"/>
      <c r="D252" s="447"/>
      <c r="E252" s="447"/>
      <c r="F252" s="447"/>
      <c r="G252" s="448"/>
      <c r="I252" s="179">
        <f>F256+F262+F268+F274+F280+F286+F292+F298+F304+F310</f>
        <v>38100.387560000003</v>
      </c>
    </row>
    <row r="253" spans="1:9" ht="26.25" customHeight="1" x14ac:dyDescent="0.2">
      <c r="A253" s="439" t="s">
        <v>157</v>
      </c>
      <c r="B253" s="440"/>
      <c r="C253" s="443"/>
      <c r="D253" s="443"/>
      <c r="E253" s="413"/>
      <c r="F253" s="444"/>
      <c r="G253" s="265"/>
    </row>
    <row r="254" spans="1:9" ht="26.25" customHeight="1" x14ac:dyDescent="0.2">
      <c r="A254" s="441"/>
      <c r="B254" s="442"/>
      <c r="C254" s="443"/>
      <c r="D254" s="443"/>
      <c r="E254" s="414"/>
      <c r="F254" s="445"/>
      <c r="G254" s="265"/>
    </row>
    <row r="255" spans="1:9" ht="26.25" customHeight="1" x14ac:dyDescent="0.2">
      <c r="A255" s="441"/>
      <c r="B255" s="442"/>
      <c r="C255" s="443"/>
      <c r="D255" s="443"/>
      <c r="E255" s="414"/>
      <c r="F255" s="445"/>
      <c r="G255" s="265"/>
    </row>
    <row r="256" spans="1:9" x14ac:dyDescent="0.2">
      <c r="A256" s="394" t="s">
        <v>236</v>
      </c>
      <c r="B256" s="262" t="s">
        <v>166</v>
      </c>
      <c r="C256" s="390" t="s">
        <v>268</v>
      </c>
      <c r="D256" s="391"/>
      <c r="E256" s="78" t="s">
        <v>53</v>
      </c>
      <c r="F256" s="183">
        <f>SUM(F257:F261)</f>
        <v>32265.3</v>
      </c>
      <c r="G256" s="265"/>
    </row>
    <row r="257" spans="1:7" x14ac:dyDescent="0.2">
      <c r="A257" s="389"/>
      <c r="B257" s="262"/>
      <c r="C257" s="392"/>
      <c r="D257" s="393"/>
      <c r="E257" s="77" t="s">
        <v>4</v>
      </c>
      <c r="F257" s="55">
        <f>'Прил 7 Перечень мероприятий'!G112</f>
        <v>6220.1</v>
      </c>
      <c r="G257" s="265"/>
    </row>
    <row r="258" spans="1:7" x14ac:dyDescent="0.2">
      <c r="A258" s="389"/>
      <c r="B258" s="262"/>
      <c r="C258" s="392"/>
      <c r="D258" s="393"/>
      <c r="E258" s="77" t="s">
        <v>52</v>
      </c>
      <c r="F258" s="55">
        <f>'Прил 7 Перечень мероприятий'!H112</f>
        <v>6511.3</v>
      </c>
      <c r="G258" s="265"/>
    </row>
    <row r="259" spans="1:7" x14ac:dyDescent="0.2">
      <c r="A259" s="389"/>
      <c r="B259" s="262"/>
      <c r="C259" s="392"/>
      <c r="D259" s="393"/>
      <c r="E259" s="77" t="s">
        <v>100</v>
      </c>
      <c r="F259" s="55">
        <f>'Прил 7 Перечень мероприятий'!I112</f>
        <v>6511.3</v>
      </c>
      <c r="G259" s="265"/>
    </row>
    <row r="260" spans="1:7" x14ac:dyDescent="0.2">
      <c r="A260" s="389"/>
      <c r="B260" s="262"/>
      <c r="C260" s="392"/>
      <c r="D260" s="393"/>
      <c r="E260" s="77" t="s">
        <v>101</v>
      </c>
      <c r="F260" s="55">
        <f>'Прил 7 Перечень мероприятий'!J112</f>
        <v>6511.3</v>
      </c>
      <c r="G260" s="265"/>
    </row>
    <row r="261" spans="1:7" x14ac:dyDescent="0.2">
      <c r="A261" s="389"/>
      <c r="B261" s="262"/>
      <c r="C261" s="392"/>
      <c r="D261" s="393"/>
      <c r="E261" s="77" t="s">
        <v>102</v>
      </c>
      <c r="F261" s="55">
        <f>'Прил 7 Перечень мероприятий'!K112</f>
        <v>6511.3</v>
      </c>
      <c r="G261" s="265"/>
    </row>
    <row r="262" spans="1:7" x14ac:dyDescent="0.2">
      <c r="A262" s="388" t="s">
        <v>254</v>
      </c>
      <c r="B262" s="262" t="s">
        <v>166</v>
      </c>
      <c r="C262" s="390" t="s">
        <v>193</v>
      </c>
      <c r="D262" s="391"/>
      <c r="E262" s="78" t="s">
        <v>53</v>
      </c>
      <c r="F262" s="183">
        <f>SUM(F263:F267)</f>
        <v>1383.6</v>
      </c>
      <c r="G262" s="265"/>
    </row>
    <row r="263" spans="1:7" x14ac:dyDescent="0.2">
      <c r="A263" s="389"/>
      <c r="B263" s="262"/>
      <c r="C263" s="392"/>
      <c r="D263" s="393"/>
      <c r="E263" s="77" t="s">
        <v>4</v>
      </c>
      <c r="F263" s="55">
        <f>'Прил 7 Перечень мероприятий'!G114</f>
        <v>280</v>
      </c>
      <c r="G263" s="265"/>
    </row>
    <row r="264" spans="1:7" x14ac:dyDescent="0.2">
      <c r="A264" s="389"/>
      <c r="B264" s="262"/>
      <c r="C264" s="392"/>
      <c r="D264" s="393"/>
      <c r="E264" s="77" t="s">
        <v>52</v>
      </c>
      <c r="F264" s="55">
        <f>'Прил 7 Перечень мероприятий'!H114</f>
        <v>270.5</v>
      </c>
      <c r="G264" s="265"/>
    </row>
    <row r="265" spans="1:7" x14ac:dyDescent="0.2">
      <c r="A265" s="389"/>
      <c r="B265" s="262"/>
      <c r="C265" s="392"/>
      <c r="D265" s="393"/>
      <c r="E265" s="77" t="s">
        <v>100</v>
      </c>
      <c r="F265" s="55">
        <f>'Прил 7 Перечень мероприятий'!I114</f>
        <v>270.5</v>
      </c>
      <c r="G265" s="265"/>
    </row>
    <row r="266" spans="1:7" x14ac:dyDescent="0.2">
      <c r="A266" s="389"/>
      <c r="B266" s="262"/>
      <c r="C266" s="392"/>
      <c r="D266" s="393"/>
      <c r="E266" s="77" t="s">
        <v>101</v>
      </c>
      <c r="F266" s="55">
        <f>'Прил 7 Перечень мероприятий'!J114</f>
        <v>281.3</v>
      </c>
      <c r="G266" s="265"/>
    </row>
    <row r="267" spans="1:7" x14ac:dyDescent="0.2">
      <c r="A267" s="389"/>
      <c r="B267" s="262"/>
      <c r="C267" s="392"/>
      <c r="D267" s="393"/>
      <c r="E267" s="77" t="s">
        <v>102</v>
      </c>
      <c r="F267" s="55">
        <f>'Прил 7 Перечень мероприятий'!K114</f>
        <v>281.3</v>
      </c>
      <c r="G267" s="265"/>
    </row>
    <row r="268" spans="1:7" ht="12" customHeight="1" x14ac:dyDescent="0.2">
      <c r="A268" s="388" t="s">
        <v>262</v>
      </c>
      <c r="B268" s="262" t="s">
        <v>166</v>
      </c>
      <c r="C268" s="390" t="s">
        <v>353</v>
      </c>
      <c r="D268" s="391"/>
      <c r="E268" s="78" t="s">
        <v>53</v>
      </c>
      <c r="F268" s="183">
        <f>SUM(F269:F273)</f>
        <v>793.11655999999994</v>
      </c>
      <c r="G268" s="265"/>
    </row>
    <row r="269" spans="1:7" ht="12" customHeight="1" x14ac:dyDescent="0.2">
      <c r="A269" s="389"/>
      <c r="B269" s="262"/>
      <c r="C269" s="392"/>
      <c r="D269" s="393"/>
      <c r="E269" s="77" t="s">
        <v>4</v>
      </c>
      <c r="F269" s="55">
        <f>'Прил 7 Перечень мероприятий'!G116</f>
        <v>47.11656</v>
      </c>
      <c r="G269" s="265"/>
    </row>
    <row r="270" spans="1:7" ht="12" customHeight="1" x14ac:dyDescent="0.2">
      <c r="A270" s="389"/>
      <c r="B270" s="262"/>
      <c r="C270" s="392"/>
      <c r="D270" s="393"/>
      <c r="E270" s="77" t="s">
        <v>52</v>
      </c>
      <c r="F270" s="55">
        <f>'Прил 7 Перечень мероприятий'!H116</f>
        <v>146</v>
      </c>
      <c r="G270" s="265"/>
    </row>
    <row r="271" spans="1:7" ht="12" customHeight="1" x14ac:dyDescent="0.2">
      <c r="A271" s="389"/>
      <c r="B271" s="262"/>
      <c r="C271" s="392"/>
      <c r="D271" s="393"/>
      <c r="E271" s="77" t="s">
        <v>100</v>
      </c>
      <c r="F271" s="55">
        <f>'Прил 7 Перечень мероприятий'!I116</f>
        <v>200</v>
      </c>
      <c r="G271" s="265"/>
    </row>
    <row r="272" spans="1:7" ht="12" customHeight="1" x14ac:dyDescent="0.2">
      <c r="A272" s="389"/>
      <c r="B272" s="262"/>
      <c r="C272" s="392"/>
      <c r="D272" s="393"/>
      <c r="E272" s="77" t="s">
        <v>101</v>
      </c>
      <c r="F272" s="55">
        <f>'Прил 7 Перечень мероприятий'!J116</f>
        <v>200</v>
      </c>
      <c r="G272" s="265"/>
    </row>
    <row r="273" spans="1:7" ht="12" customHeight="1" x14ac:dyDescent="0.2">
      <c r="A273" s="389"/>
      <c r="B273" s="262"/>
      <c r="C273" s="392"/>
      <c r="D273" s="393"/>
      <c r="E273" s="77" t="s">
        <v>102</v>
      </c>
      <c r="F273" s="55">
        <f>'Прил 7 Перечень мероприятий'!K116</f>
        <v>200</v>
      </c>
      <c r="G273" s="265"/>
    </row>
    <row r="274" spans="1:7" ht="12" customHeight="1" x14ac:dyDescent="0.2">
      <c r="A274" s="388" t="s">
        <v>263</v>
      </c>
      <c r="B274" s="262" t="s">
        <v>166</v>
      </c>
      <c r="C274" s="390" t="s">
        <v>354</v>
      </c>
      <c r="D274" s="391"/>
      <c r="E274" s="78" t="s">
        <v>53</v>
      </c>
      <c r="F274" s="183">
        <f>SUM(F275:F279)</f>
        <v>22.661000000000001</v>
      </c>
      <c r="G274" s="265"/>
    </row>
    <row r="275" spans="1:7" ht="12" customHeight="1" x14ac:dyDescent="0.2">
      <c r="A275" s="389"/>
      <c r="B275" s="262"/>
      <c r="C275" s="392"/>
      <c r="D275" s="393"/>
      <c r="E275" s="77" t="s">
        <v>4</v>
      </c>
      <c r="F275" s="55">
        <f>'Прил 7 Перечень мероприятий'!G118</f>
        <v>5</v>
      </c>
      <c r="G275" s="265"/>
    </row>
    <row r="276" spans="1:7" ht="12" customHeight="1" x14ac:dyDescent="0.2">
      <c r="A276" s="389"/>
      <c r="B276" s="262"/>
      <c r="C276" s="392"/>
      <c r="D276" s="393"/>
      <c r="E276" s="77" t="s">
        <v>52</v>
      </c>
      <c r="F276" s="55">
        <f>'Прил 7 Перечень мероприятий'!H118</f>
        <v>2.661</v>
      </c>
      <c r="G276" s="265"/>
    </row>
    <row r="277" spans="1:7" ht="12" customHeight="1" x14ac:dyDescent="0.2">
      <c r="A277" s="389"/>
      <c r="B277" s="262"/>
      <c r="C277" s="392"/>
      <c r="D277" s="393"/>
      <c r="E277" s="77" t="s">
        <v>100</v>
      </c>
      <c r="F277" s="55">
        <f>'Прил 7 Перечень мероприятий'!I118</f>
        <v>5</v>
      </c>
      <c r="G277" s="265"/>
    </row>
    <row r="278" spans="1:7" ht="12" customHeight="1" x14ac:dyDescent="0.2">
      <c r="A278" s="389"/>
      <c r="B278" s="262"/>
      <c r="C278" s="392"/>
      <c r="D278" s="393"/>
      <c r="E278" s="77" t="s">
        <v>101</v>
      </c>
      <c r="F278" s="55">
        <f>'Прил 7 Перечень мероприятий'!J118</f>
        <v>5</v>
      </c>
      <c r="G278" s="265"/>
    </row>
    <row r="279" spans="1:7" ht="12" customHeight="1" x14ac:dyDescent="0.2">
      <c r="A279" s="389"/>
      <c r="B279" s="262"/>
      <c r="C279" s="392"/>
      <c r="D279" s="393"/>
      <c r="E279" s="77" t="s">
        <v>102</v>
      </c>
      <c r="F279" s="55">
        <f>'Прил 7 Перечень мероприятий'!K118</f>
        <v>5</v>
      </c>
      <c r="G279" s="265"/>
    </row>
    <row r="280" spans="1:7" ht="15.75" customHeight="1" x14ac:dyDescent="0.2">
      <c r="A280" s="388" t="s">
        <v>257</v>
      </c>
      <c r="B280" s="262" t="s">
        <v>166</v>
      </c>
      <c r="C280" s="390" t="s">
        <v>431</v>
      </c>
      <c r="D280" s="391"/>
      <c r="E280" s="78" t="s">
        <v>53</v>
      </c>
      <c r="F280" s="183">
        <f>SUM(F281:F285)</f>
        <v>863.1</v>
      </c>
      <c r="G280" s="265"/>
    </row>
    <row r="281" spans="1:7" ht="15.75" customHeight="1" x14ac:dyDescent="0.2">
      <c r="A281" s="389"/>
      <c r="B281" s="262"/>
      <c r="C281" s="392"/>
      <c r="D281" s="393"/>
      <c r="E281" s="77" t="s">
        <v>4</v>
      </c>
      <c r="F281" s="55">
        <f>'Прил 7 Перечень мероприятий'!G120</f>
        <v>193.1</v>
      </c>
      <c r="G281" s="265"/>
    </row>
    <row r="282" spans="1:7" ht="15.75" customHeight="1" x14ac:dyDescent="0.2">
      <c r="A282" s="389"/>
      <c r="B282" s="262"/>
      <c r="C282" s="392"/>
      <c r="D282" s="393"/>
      <c r="E282" s="77" t="s">
        <v>52</v>
      </c>
      <c r="F282" s="55">
        <f>'Прил 7 Перечень мероприятий'!H120</f>
        <v>70</v>
      </c>
      <c r="G282" s="265"/>
    </row>
    <row r="283" spans="1:7" ht="15.75" customHeight="1" x14ac:dyDescent="0.2">
      <c r="A283" s="389"/>
      <c r="B283" s="262"/>
      <c r="C283" s="392"/>
      <c r="D283" s="393"/>
      <c r="E283" s="77" t="s">
        <v>100</v>
      </c>
      <c r="F283" s="55">
        <f>'Прил 7 Перечень мероприятий'!I120</f>
        <v>200</v>
      </c>
      <c r="G283" s="265"/>
    </row>
    <row r="284" spans="1:7" ht="15.75" customHeight="1" x14ac:dyDescent="0.2">
      <c r="A284" s="389"/>
      <c r="B284" s="262"/>
      <c r="C284" s="392"/>
      <c r="D284" s="393"/>
      <c r="E284" s="77" t="s">
        <v>101</v>
      </c>
      <c r="F284" s="55">
        <f>'Прил 7 Перечень мероприятий'!J120</f>
        <v>200</v>
      </c>
      <c r="G284" s="265"/>
    </row>
    <row r="285" spans="1:7" ht="15.75" customHeight="1" x14ac:dyDescent="0.2">
      <c r="A285" s="389"/>
      <c r="B285" s="262"/>
      <c r="C285" s="392"/>
      <c r="D285" s="393"/>
      <c r="E285" s="77" t="s">
        <v>102</v>
      </c>
      <c r="F285" s="55">
        <f>'Прил 7 Перечень мероприятий'!K120</f>
        <v>200</v>
      </c>
      <c r="G285" s="265"/>
    </row>
    <row r="286" spans="1:7" ht="15" customHeight="1" x14ac:dyDescent="0.2">
      <c r="A286" s="388" t="s">
        <v>264</v>
      </c>
      <c r="B286" s="262" t="s">
        <v>166</v>
      </c>
      <c r="C286" s="396" t="s">
        <v>430</v>
      </c>
      <c r="D286" s="397"/>
      <c r="E286" s="78" t="s">
        <v>53</v>
      </c>
      <c r="F286" s="183">
        <f>SUM(F287:F291)</f>
        <v>919.79</v>
      </c>
      <c r="G286" s="265"/>
    </row>
    <row r="287" spans="1:7" ht="15" customHeight="1" x14ac:dyDescent="0.2">
      <c r="A287" s="389"/>
      <c r="B287" s="262"/>
      <c r="C287" s="398"/>
      <c r="D287" s="399"/>
      <c r="E287" s="77" t="s">
        <v>4</v>
      </c>
      <c r="F287" s="55">
        <f>'Прил 7 Перечень мероприятий'!G122</f>
        <v>37.79</v>
      </c>
      <c r="G287" s="265"/>
    </row>
    <row r="288" spans="1:7" ht="15" customHeight="1" x14ac:dyDescent="0.2">
      <c r="A288" s="389"/>
      <c r="B288" s="262"/>
      <c r="C288" s="398"/>
      <c r="D288" s="399"/>
      <c r="E288" s="77" t="s">
        <v>52</v>
      </c>
      <c r="F288" s="55">
        <f>'Прил 7 Перечень мероприятий'!H122</f>
        <v>282</v>
      </c>
      <c r="G288" s="265"/>
    </row>
    <row r="289" spans="1:7" ht="15" customHeight="1" x14ac:dyDescent="0.2">
      <c r="A289" s="389"/>
      <c r="B289" s="262"/>
      <c r="C289" s="398"/>
      <c r="D289" s="399"/>
      <c r="E289" s="77" t="s">
        <v>100</v>
      </c>
      <c r="F289" s="55">
        <f>'Прил 7 Перечень мероприятий'!I122</f>
        <v>200</v>
      </c>
      <c r="G289" s="265"/>
    </row>
    <row r="290" spans="1:7" ht="15" customHeight="1" x14ac:dyDescent="0.2">
      <c r="A290" s="389"/>
      <c r="B290" s="262"/>
      <c r="C290" s="398"/>
      <c r="D290" s="399"/>
      <c r="E290" s="77" t="s">
        <v>101</v>
      </c>
      <c r="F290" s="55">
        <f>'Прил 7 Перечень мероприятий'!J122</f>
        <v>200</v>
      </c>
      <c r="G290" s="265"/>
    </row>
    <row r="291" spans="1:7" ht="15" customHeight="1" x14ac:dyDescent="0.2">
      <c r="A291" s="389"/>
      <c r="B291" s="262"/>
      <c r="C291" s="398"/>
      <c r="D291" s="399"/>
      <c r="E291" s="77" t="s">
        <v>102</v>
      </c>
      <c r="F291" s="55">
        <f>'Прил 7 Перечень мероприятий'!K122</f>
        <v>200</v>
      </c>
      <c r="G291" s="265"/>
    </row>
    <row r="292" spans="1:7" ht="13.5" customHeight="1" x14ac:dyDescent="0.2">
      <c r="A292" s="388" t="s">
        <v>265</v>
      </c>
      <c r="B292" s="262" t="s">
        <v>166</v>
      </c>
      <c r="C292" s="390" t="s">
        <v>428</v>
      </c>
      <c r="D292" s="391"/>
      <c r="E292" s="78" t="s">
        <v>53</v>
      </c>
      <c r="F292" s="183">
        <f>SUM(F293:F297)</f>
        <v>1488.62</v>
      </c>
      <c r="G292" s="265"/>
    </row>
    <row r="293" spans="1:7" ht="13.5" customHeight="1" x14ac:dyDescent="0.2">
      <c r="A293" s="389"/>
      <c r="B293" s="262"/>
      <c r="C293" s="392"/>
      <c r="D293" s="393"/>
      <c r="E293" s="77" t="s">
        <v>4</v>
      </c>
      <c r="F293" s="55">
        <f>'Прил 7 Перечень мероприятий'!G124</f>
        <v>330.52</v>
      </c>
      <c r="G293" s="265"/>
    </row>
    <row r="294" spans="1:7" ht="13.5" customHeight="1" x14ac:dyDescent="0.2">
      <c r="A294" s="389"/>
      <c r="B294" s="262"/>
      <c r="C294" s="392"/>
      <c r="D294" s="393"/>
      <c r="E294" s="77" t="s">
        <v>52</v>
      </c>
      <c r="F294" s="55">
        <f>'Прил 7 Перечень мероприятий'!H124</f>
        <v>258.10000000000002</v>
      </c>
      <c r="G294" s="265"/>
    </row>
    <row r="295" spans="1:7" ht="13.5" customHeight="1" x14ac:dyDescent="0.2">
      <c r="A295" s="389"/>
      <c r="B295" s="262"/>
      <c r="C295" s="392"/>
      <c r="D295" s="393"/>
      <c r="E295" s="77" t="s">
        <v>100</v>
      </c>
      <c r="F295" s="55">
        <f>'Прил 7 Перечень мероприятий'!I124</f>
        <v>300</v>
      </c>
      <c r="G295" s="265"/>
    </row>
    <row r="296" spans="1:7" ht="13.5" customHeight="1" x14ac:dyDescent="0.2">
      <c r="A296" s="389"/>
      <c r="B296" s="262"/>
      <c r="C296" s="392"/>
      <c r="D296" s="393"/>
      <c r="E296" s="77" t="s">
        <v>101</v>
      </c>
      <c r="F296" s="55">
        <f>'Прил 7 Перечень мероприятий'!J124</f>
        <v>300</v>
      </c>
      <c r="G296" s="265"/>
    </row>
    <row r="297" spans="1:7" ht="13.5" customHeight="1" x14ac:dyDescent="0.2">
      <c r="A297" s="389"/>
      <c r="B297" s="262"/>
      <c r="C297" s="392"/>
      <c r="D297" s="393"/>
      <c r="E297" s="77" t="s">
        <v>102</v>
      </c>
      <c r="F297" s="55">
        <f>'Прил 7 Перечень мероприятий'!K124</f>
        <v>300</v>
      </c>
      <c r="G297" s="265"/>
    </row>
    <row r="298" spans="1:7" ht="15" customHeight="1" x14ac:dyDescent="0.2">
      <c r="A298" s="400" t="s">
        <v>266</v>
      </c>
      <c r="B298" s="262" t="s">
        <v>166</v>
      </c>
      <c r="C298" s="395" t="s">
        <v>191</v>
      </c>
      <c r="D298" s="395"/>
      <c r="E298" s="108" t="s">
        <v>53</v>
      </c>
      <c r="F298" s="183">
        <f>SUM(F299:F303)</f>
        <v>360</v>
      </c>
      <c r="G298" s="265"/>
    </row>
    <row r="299" spans="1:7" ht="15" customHeight="1" x14ac:dyDescent="0.2">
      <c r="A299" s="401"/>
      <c r="B299" s="262"/>
      <c r="C299" s="395"/>
      <c r="D299" s="395"/>
      <c r="E299" s="106" t="s">
        <v>4</v>
      </c>
      <c r="F299" s="55">
        <f>'Прил 7 Перечень мероприятий'!G126</f>
        <v>0</v>
      </c>
      <c r="G299" s="265"/>
    </row>
    <row r="300" spans="1:7" ht="15" customHeight="1" x14ac:dyDescent="0.2">
      <c r="A300" s="401"/>
      <c r="B300" s="262"/>
      <c r="C300" s="395"/>
      <c r="D300" s="395"/>
      <c r="E300" s="106" t="s">
        <v>52</v>
      </c>
      <c r="F300" s="55">
        <f>'Прил 7 Перечень мероприятий'!H126</f>
        <v>90</v>
      </c>
      <c r="G300" s="265"/>
    </row>
    <row r="301" spans="1:7" ht="15" customHeight="1" x14ac:dyDescent="0.2">
      <c r="A301" s="401"/>
      <c r="B301" s="262"/>
      <c r="C301" s="395"/>
      <c r="D301" s="395"/>
      <c r="E301" s="106" t="s">
        <v>100</v>
      </c>
      <c r="F301" s="55">
        <f>'Прил 7 Перечень мероприятий'!I126</f>
        <v>90</v>
      </c>
      <c r="G301" s="265"/>
    </row>
    <row r="302" spans="1:7" ht="15" customHeight="1" x14ac:dyDescent="0.2">
      <c r="A302" s="401"/>
      <c r="B302" s="262"/>
      <c r="C302" s="395"/>
      <c r="D302" s="395"/>
      <c r="E302" s="106" t="s">
        <v>101</v>
      </c>
      <c r="F302" s="55">
        <f>'Прил 7 Перечень мероприятий'!J126</f>
        <v>90</v>
      </c>
      <c r="G302" s="265"/>
    </row>
    <row r="303" spans="1:7" ht="15" customHeight="1" x14ac:dyDescent="0.2">
      <c r="A303" s="401"/>
      <c r="B303" s="262"/>
      <c r="C303" s="395"/>
      <c r="D303" s="395"/>
      <c r="E303" s="106" t="s">
        <v>102</v>
      </c>
      <c r="F303" s="55">
        <f>'Прил 7 Перечень мероприятий'!K126</f>
        <v>90</v>
      </c>
      <c r="G303" s="265"/>
    </row>
    <row r="304" spans="1:7" ht="13.5" customHeight="1" x14ac:dyDescent="0.2">
      <c r="A304" s="400" t="s">
        <v>296</v>
      </c>
      <c r="B304" s="262" t="s">
        <v>166</v>
      </c>
      <c r="C304" s="395" t="s">
        <v>298</v>
      </c>
      <c r="D304" s="395"/>
      <c r="E304" s="108" t="s">
        <v>53</v>
      </c>
      <c r="F304" s="183">
        <f>SUM(F305:F309)</f>
        <v>0</v>
      </c>
      <c r="G304" s="265"/>
    </row>
    <row r="305" spans="1:7" ht="13.5" customHeight="1" x14ac:dyDescent="0.2">
      <c r="A305" s="401"/>
      <c r="B305" s="262"/>
      <c r="C305" s="395"/>
      <c r="D305" s="395"/>
      <c r="E305" s="106" t="s">
        <v>4</v>
      </c>
      <c r="F305" s="55">
        <v>0</v>
      </c>
      <c r="G305" s="265"/>
    </row>
    <row r="306" spans="1:7" ht="13.5" customHeight="1" x14ac:dyDescent="0.2">
      <c r="A306" s="401"/>
      <c r="B306" s="262"/>
      <c r="C306" s="395"/>
      <c r="D306" s="395"/>
      <c r="E306" s="106" t="s">
        <v>52</v>
      </c>
      <c r="F306" s="55">
        <v>0</v>
      </c>
      <c r="G306" s="265"/>
    </row>
    <row r="307" spans="1:7" ht="13.5" customHeight="1" x14ac:dyDescent="0.2">
      <c r="A307" s="401"/>
      <c r="B307" s="262"/>
      <c r="C307" s="395"/>
      <c r="D307" s="395"/>
      <c r="E307" s="106" t="s">
        <v>100</v>
      </c>
      <c r="F307" s="55">
        <v>0</v>
      </c>
      <c r="G307" s="265"/>
    </row>
    <row r="308" spans="1:7" ht="13.5" customHeight="1" x14ac:dyDescent="0.2">
      <c r="A308" s="401"/>
      <c r="B308" s="262"/>
      <c r="C308" s="395"/>
      <c r="D308" s="395"/>
      <c r="E308" s="106" t="s">
        <v>101</v>
      </c>
      <c r="F308" s="55">
        <v>0</v>
      </c>
      <c r="G308" s="265"/>
    </row>
    <row r="309" spans="1:7" ht="13.5" customHeight="1" x14ac:dyDescent="0.2">
      <c r="A309" s="401"/>
      <c r="B309" s="262"/>
      <c r="C309" s="395"/>
      <c r="D309" s="395"/>
      <c r="E309" s="106" t="s">
        <v>102</v>
      </c>
      <c r="F309" s="55">
        <v>0</v>
      </c>
      <c r="G309" s="265"/>
    </row>
    <row r="310" spans="1:7" ht="17.25" customHeight="1" x14ac:dyDescent="0.2">
      <c r="A310" s="400" t="s">
        <v>297</v>
      </c>
      <c r="B310" s="262" t="s">
        <v>166</v>
      </c>
      <c r="C310" s="395" t="s">
        <v>299</v>
      </c>
      <c r="D310" s="395"/>
      <c r="E310" s="78" t="s">
        <v>53</v>
      </c>
      <c r="F310" s="183">
        <f>SUM(F311:F315)</f>
        <v>4.2</v>
      </c>
      <c r="G310" s="265"/>
    </row>
    <row r="311" spans="1:7" ht="17.25" customHeight="1" x14ac:dyDescent="0.2">
      <c r="A311" s="401"/>
      <c r="B311" s="262"/>
      <c r="C311" s="395"/>
      <c r="D311" s="395"/>
      <c r="E311" s="77" t="s">
        <v>4</v>
      </c>
      <c r="F311" s="55">
        <f>'Прил 7 Перечень мероприятий'!F129</f>
        <v>4.2</v>
      </c>
      <c r="G311" s="265"/>
    </row>
    <row r="312" spans="1:7" ht="17.25" customHeight="1" x14ac:dyDescent="0.2">
      <c r="A312" s="401"/>
      <c r="B312" s="262"/>
      <c r="C312" s="395"/>
      <c r="D312" s="395"/>
      <c r="E312" s="77" t="s">
        <v>52</v>
      </c>
      <c r="F312" s="55">
        <f>'Прил 7 Перечень мероприятий'!H129</f>
        <v>0</v>
      </c>
      <c r="G312" s="265"/>
    </row>
    <row r="313" spans="1:7" ht="17.25" customHeight="1" x14ac:dyDescent="0.2">
      <c r="A313" s="401"/>
      <c r="B313" s="262"/>
      <c r="C313" s="395"/>
      <c r="D313" s="395"/>
      <c r="E313" s="77" t="s">
        <v>100</v>
      </c>
      <c r="F313" s="55">
        <f>'Прил 7 Перечень мероприятий'!I129</f>
        <v>0</v>
      </c>
      <c r="G313" s="265"/>
    </row>
    <row r="314" spans="1:7" ht="17.25" customHeight="1" x14ac:dyDescent="0.2">
      <c r="A314" s="401"/>
      <c r="B314" s="262"/>
      <c r="C314" s="395"/>
      <c r="D314" s="395"/>
      <c r="E314" s="77" t="s">
        <v>101</v>
      </c>
      <c r="F314" s="55">
        <f>'Прил 7 Перечень мероприятий'!J129</f>
        <v>0</v>
      </c>
      <c r="G314" s="265"/>
    </row>
    <row r="315" spans="1:7" ht="17.25" customHeight="1" x14ac:dyDescent="0.2">
      <c r="A315" s="401"/>
      <c r="B315" s="262"/>
      <c r="C315" s="395"/>
      <c r="D315" s="395"/>
      <c r="E315" s="77" t="s">
        <v>102</v>
      </c>
      <c r="F315" s="55">
        <f>'Прил 7 Перечень мероприятий'!K129</f>
        <v>0</v>
      </c>
      <c r="G315" s="265"/>
    </row>
  </sheetData>
  <mergeCells count="220">
    <mergeCell ref="A240:A245"/>
    <mergeCell ref="B240:B245"/>
    <mergeCell ref="D240:D245"/>
    <mergeCell ref="G240:G245"/>
    <mergeCell ref="A246:A251"/>
    <mergeCell ref="B246:B251"/>
    <mergeCell ref="D246:D251"/>
    <mergeCell ref="G246:G251"/>
    <mergeCell ref="B150:B155"/>
    <mergeCell ref="C150:D155"/>
    <mergeCell ref="G150:G155"/>
    <mergeCell ref="B192:B197"/>
    <mergeCell ref="C192:D197"/>
    <mergeCell ref="G192:G197"/>
    <mergeCell ref="A210:A215"/>
    <mergeCell ref="B210:B215"/>
    <mergeCell ref="D210:D215"/>
    <mergeCell ref="G210:G215"/>
    <mergeCell ref="B162:B167"/>
    <mergeCell ref="A150:A155"/>
    <mergeCell ref="A144:A149"/>
    <mergeCell ref="C144:D149"/>
    <mergeCell ref="A139:B143"/>
    <mergeCell ref="A234:A239"/>
    <mergeCell ref="B234:B239"/>
    <mergeCell ref="D234:D239"/>
    <mergeCell ref="G234:G239"/>
    <mergeCell ref="A222:A227"/>
    <mergeCell ref="B222:B227"/>
    <mergeCell ref="D222:D227"/>
    <mergeCell ref="G222:G227"/>
    <mergeCell ref="B204:B209"/>
    <mergeCell ref="C204:D209"/>
    <mergeCell ref="G204:G209"/>
    <mergeCell ref="A156:A161"/>
    <mergeCell ref="C162:D167"/>
    <mergeCell ref="A228:A233"/>
    <mergeCell ref="B228:B233"/>
    <mergeCell ref="D228:D233"/>
    <mergeCell ref="G228:G233"/>
    <mergeCell ref="C139:D143"/>
    <mergeCell ref="G139:G143"/>
    <mergeCell ref="F139:F143"/>
    <mergeCell ref="B18:B23"/>
    <mergeCell ref="C18:D23"/>
    <mergeCell ref="G18:G23"/>
    <mergeCell ref="B156:B161"/>
    <mergeCell ref="C156:D161"/>
    <mergeCell ref="G156:G161"/>
    <mergeCell ref="A180:A185"/>
    <mergeCell ref="B180:B185"/>
    <mergeCell ref="C180:D185"/>
    <mergeCell ref="G180:G185"/>
    <mergeCell ref="A174:A179"/>
    <mergeCell ref="B174:B179"/>
    <mergeCell ref="C174:D179"/>
    <mergeCell ref="G162:G167"/>
    <mergeCell ref="G60:G65"/>
    <mergeCell ref="A60:A65"/>
    <mergeCell ref="C60:D65"/>
    <mergeCell ref="B24:B29"/>
    <mergeCell ref="G24:G29"/>
    <mergeCell ref="A24:A29"/>
    <mergeCell ref="A30:A35"/>
    <mergeCell ref="B30:B35"/>
    <mergeCell ref="A108:A113"/>
    <mergeCell ref="B108:B113"/>
    <mergeCell ref="A7:G7"/>
    <mergeCell ref="A216:A221"/>
    <mergeCell ref="B216:B221"/>
    <mergeCell ref="D216:D221"/>
    <mergeCell ref="G216:G221"/>
    <mergeCell ref="C198:D203"/>
    <mergeCell ref="G198:G203"/>
    <mergeCell ref="A204:A209"/>
    <mergeCell ref="A198:A203"/>
    <mergeCell ref="B198:B203"/>
    <mergeCell ref="A72:A77"/>
    <mergeCell ref="C72:D77"/>
    <mergeCell ref="G66:G71"/>
    <mergeCell ref="B48:B53"/>
    <mergeCell ref="C48:D53"/>
    <mergeCell ref="E8:F8"/>
    <mergeCell ref="A54:A59"/>
    <mergeCell ref="A42:A47"/>
    <mergeCell ref="G42:G47"/>
    <mergeCell ref="A48:A53"/>
    <mergeCell ref="A18:A23"/>
    <mergeCell ref="G102:G107"/>
    <mergeCell ref="B84:B89"/>
    <mergeCell ref="G84:G89"/>
    <mergeCell ref="D1:G1"/>
    <mergeCell ref="E2:G2"/>
    <mergeCell ref="A253:B255"/>
    <mergeCell ref="C253:D255"/>
    <mergeCell ref="E253:E255"/>
    <mergeCell ref="F253:F255"/>
    <mergeCell ref="G253:G255"/>
    <mergeCell ref="G174:G179"/>
    <mergeCell ref="A168:A173"/>
    <mergeCell ref="B168:B173"/>
    <mergeCell ref="C168:D173"/>
    <mergeCell ref="G168:G173"/>
    <mergeCell ref="A186:A191"/>
    <mergeCell ref="B186:B191"/>
    <mergeCell ref="A252:G252"/>
    <mergeCell ref="C186:D191"/>
    <mergeCell ref="G186:G191"/>
    <mergeCell ref="A192:A197"/>
    <mergeCell ref="A36:A41"/>
    <mergeCell ref="B36:B41"/>
    <mergeCell ref="C36:D41"/>
    <mergeCell ref="A132:A137"/>
    <mergeCell ref="B132:B137"/>
    <mergeCell ref="G108:G113"/>
    <mergeCell ref="A114:A119"/>
    <mergeCell ref="B42:B47"/>
    <mergeCell ref="C42:D47"/>
    <mergeCell ref="A66:A71"/>
    <mergeCell ref="C66:D71"/>
    <mergeCell ref="C54:D59"/>
    <mergeCell ref="G54:G59"/>
    <mergeCell ref="A90:A95"/>
    <mergeCell ref="B90:B95"/>
    <mergeCell ref="D90:D95"/>
    <mergeCell ref="G90:G95"/>
    <mergeCell ref="A126:A131"/>
    <mergeCell ref="B126:B131"/>
    <mergeCell ref="D126:D131"/>
    <mergeCell ref="G126:G131"/>
    <mergeCell ref="A120:A125"/>
    <mergeCell ref="B120:B125"/>
    <mergeCell ref="D120:D125"/>
    <mergeCell ref="G120:G125"/>
    <mergeCell ref="B12:B17"/>
    <mergeCell ref="A84:A89"/>
    <mergeCell ref="A12:A17"/>
    <mergeCell ref="A78:A83"/>
    <mergeCell ref="B78:B83"/>
    <mergeCell ref="D78:D83"/>
    <mergeCell ref="G78:G83"/>
    <mergeCell ref="B114:B119"/>
    <mergeCell ref="A102:A107"/>
    <mergeCell ref="B102:B107"/>
    <mergeCell ref="D96:D101"/>
    <mergeCell ref="A96:A101"/>
    <mergeCell ref="G96:G101"/>
    <mergeCell ref="B96:B101"/>
    <mergeCell ref="G114:G119"/>
    <mergeCell ref="D108:D113"/>
    <mergeCell ref="A10:G10"/>
    <mergeCell ref="A162:A167"/>
    <mergeCell ref="B72:B77"/>
    <mergeCell ref="G72:G77"/>
    <mergeCell ref="C8:D8"/>
    <mergeCell ref="C9:D9"/>
    <mergeCell ref="G144:G149"/>
    <mergeCell ref="B144:B149"/>
    <mergeCell ref="C30:D35"/>
    <mergeCell ref="C24:D29"/>
    <mergeCell ref="G30:G35"/>
    <mergeCell ref="G36:G41"/>
    <mergeCell ref="B66:B71"/>
    <mergeCell ref="A11:B11"/>
    <mergeCell ref="C12:D17"/>
    <mergeCell ref="G12:G17"/>
    <mergeCell ref="C102:D107"/>
    <mergeCell ref="B60:B65"/>
    <mergeCell ref="G48:G53"/>
    <mergeCell ref="B54:B59"/>
    <mergeCell ref="E139:E143"/>
    <mergeCell ref="D84:D89"/>
    <mergeCell ref="D132:D137"/>
    <mergeCell ref="E9:F9"/>
    <mergeCell ref="G262:G267"/>
    <mergeCell ref="B310:B315"/>
    <mergeCell ref="C310:D315"/>
    <mergeCell ref="G310:G315"/>
    <mergeCell ref="A292:A297"/>
    <mergeCell ref="B292:B297"/>
    <mergeCell ref="C292:D297"/>
    <mergeCell ref="G292:G297"/>
    <mergeCell ref="A286:A291"/>
    <mergeCell ref="B286:B291"/>
    <mergeCell ref="C286:D291"/>
    <mergeCell ref="G286:G291"/>
    <mergeCell ref="A310:A315"/>
    <mergeCell ref="A304:A309"/>
    <mergeCell ref="B304:B309"/>
    <mergeCell ref="C304:D309"/>
    <mergeCell ref="G304:G309"/>
    <mergeCell ref="A298:A303"/>
    <mergeCell ref="B298:B303"/>
    <mergeCell ref="C298:D303"/>
    <mergeCell ref="G298:G303"/>
    <mergeCell ref="C262:D267"/>
    <mergeCell ref="A138:G138"/>
    <mergeCell ref="G132:G137"/>
    <mergeCell ref="D114:D119"/>
    <mergeCell ref="D3:G3"/>
    <mergeCell ref="E4:G4"/>
    <mergeCell ref="D6:G6"/>
    <mergeCell ref="A280:A285"/>
    <mergeCell ref="B280:B285"/>
    <mergeCell ref="C280:D285"/>
    <mergeCell ref="G280:G285"/>
    <mergeCell ref="A256:A261"/>
    <mergeCell ref="B256:B261"/>
    <mergeCell ref="C256:D261"/>
    <mergeCell ref="G256:G261"/>
    <mergeCell ref="A274:A279"/>
    <mergeCell ref="B274:B279"/>
    <mergeCell ref="C274:D279"/>
    <mergeCell ref="G274:G279"/>
    <mergeCell ref="A268:A273"/>
    <mergeCell ref="B268:B273"/>
    <mergeCell ref="C268:D273"/>
    <mergeCell ref="G268:G273"/>
    <mergeCell ref="A262:A267"/>
    <mergeCell ref="B262:B267"/>
  </mergeCells>
  <pageMargins left="0.9055118110236221" right="0.9055118110236221" top="0.74803149606299213" bottom="0.74803149606299213" header="0.31496062992125984" footer="0.31496062992125984"/>
  <pageSetup paperSize="9" scale="52" fitToHeight="0" orientation="landscape" r:id="rId1"/>
  <rowBreaks count="5" manualBreakCount="5">
    <brk id="47" max="6" man="1"/>
    <brk id="95" max="6" man="1"/>
    <brk id="143" max="6" man="1"/>
    <brk id="197" max="6" man="1"/>
    <brk id="25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E17" sqref="E17"/>
    </sheetView>
  </sheetViews>
  <sheetFormatPr defaultRowHeight="15.75" x14ac:dyDescent="0.25"/>
  <cols>
    <col min="1" max="1" width="4.85546875" style="209" customWidth="1"/>
    <col min="2" max="2" width="34.7109375" style="209" customWidth="1"/>
    <col min="3" max="3" width="19.140625" style="209" customWidth="1"/>
    <col min="4" max="4" width="21" style="209" customWidth="1"/>
    <col min="5" max="5" width="15.5703125" style="209" customWidth="1"/>
    <col min="6" max="6" width="26.28515625" style="209" customWidth="1"/>
    <col min="7" max="7" width="14" style="209" customWidth="1"/>
    <col min="8" max="9" width="14.42578125" style="209" customWidth="1"/>
    <col min="10" max="10" width="11.85546875" style="209" customWidth="1"/>
    <col min="11" max="16384" width="9.140625" style="209"/>
  </cols>
  <sheetData>
    <row r="1" spans="1:10" x14ac:dyDescent="0.25">
      <c r="A1" s="473" t="s">
        <v>379</v>
      </c>
      <c r="B1" s="473"/>
      <c r="C1" s="473"/>
      <c r="D1" s="473"/>
      <c r="E1" s="473"/>
      <c r="F1" s="473"/>
      <c r="G1" s="473"/>
      <c r="H1" s="473"/>
      <c r="I1" s="473"/>
      <c r="J1" s="473"/>
    </row>
    <row r="2" spans="1:10" x14ac:dyDescent="0.25">
      <c r="A2" s="473" t="s">
        <v>391</v>
      </c>
      <c r="B2" s="473"/>
      <c r="C2" s="473"/>
      <c r="D2" s="473"/>
      <c r="E2" s="473"/>
      <c r="F2" s="473"/>
      <c r="G2" s="473"/>
      <c r="H2" s="473"/>
      <c r="I2" s="473"/>
      <c r="J2" s="473"/>
    </row>
    <row r="3" spans="1:10" x14ac:dyDescent="0.25">
      <c r="A3" s="473"/>
      <c r="B3" s="473"/>
      <c r="C3" s="473"/>
      <c r="D3" s="473"/>
      <c r="E3" s="473"/>
      <c r="F3" s="473"/>
      <c r="G3" s="473"/>
      <c r="H3" s="473"/>
      <c r="I3" s="473"/>
      <c r="J3" s="473"/>
    </row>
    <row r="4" spans="1:10" ht="40.5" customHeight="1" x14ac:dyDescent="0.25">
      <c r="A4" s="472" t="s">
        <v>419</v>
      </c>
      <c r="B4" s="472"/>
      <c r="C4" s="472"/>
      <c r="D4" s="472"/>
      <c r="E4" s="472"/>
      <c r="F4" s="472"/>
      <c r="G4" s="472"/>
      <c r="H4" s="472"/>
      <c r="I4" s="472"/>
      <c r="J4" s="472"/>
    </row>
    <row r="5" spans="1:10" ht="35.25" customHeight="1" x14ac:dyDescent="0.25">
      <c r="A5" s="472" t="s">
        <v>420</v>
      </c>
      <c r="B5" s="472"/>
      <c r="C5" s="472"/>
      <c r="D5" s="472"/>
      <c r="E5" s="472"/>
      <c r="F5" s="472"/>
      <c r="G5" s="472"/>
      <c r="H5" s="472"/>
      <c r="I5" s="472"/>
      <c r="J5" s="472"/>
    </row>
    <row r="6" spans="1:10" ht="24.75" customHeight="1" x14ac:dyDescent="0.25">
      <c r="A6" s="474" t="s">
        <v>392</v>
      </c>
      <c r="B6" s="474"/>
      <c r="C6" s="474"/>
      <c r="D6" s="474"/>
      <c r="E6" s="474"/>
      <c r="F6" s="474"/>
      <c r="G6" s="474"/>
      <c r="H6" s="474"/>
      <c r="I6" s="474"/>
      <c r="J6" s="474"/>
    </row>
    <row r="7" spans="1:10" ht="34.5" customHeight="1" x14ac:dyDescent="0.25">
      <c r="A7" s="471" t="s">
        <v>393</v>
      </c>
      <c r="B7" s="471"/>
      <c r="C7" s="471"/>
      <c r="D7" s="471"/>
      <c r="E7" s="471"/>
      <c r="F7" s="471"/>
      <c r="G7" s="471"/>
      <c r="H7" s="471"/>
      <c r="I7" s="471"/>
      <c r="J7" s="471"/>
    </row>
    <row r="8" spans="1:10" x14ac:dyDescent="0.25">
      <c r="A8" s="207"/>
    </row>
    <row r="9" spans="1:10" x14ac:dyDescent="0.25">
      <c r="A9" s="204" t="s">
        <v>410</v>
      </c>
    </row>
    <row r="10" spans="1:10" ht="7.5" customHeight="1" x14ac:dyDescent="0.25">
      <c r="A10" s="204"/>
    </row>
    <row r="11" spans="1:10" x14ac:dyDescent="0.25">
      <c r="A11" s="204" t="s">
        <v>409</v>
      </c>
    </row>
    <row r="12" spans="1:10" x14ac:dyDescent="0.25">
      <c r="A12" s="219"/>
    </row>
    <row r="13" spans="1:10" ht="15" customHeight="1" x14ac:dyDescent="0.25">
      <c r="A13" s="470" t="s">
        <v>375</v>
      </c>
      <c r="B13" s="470" t="s">
        <v>394</v>
      </c>
      <c r="C13" s="470" t="s">
        <v>395</v>
      </c>
      <c r="D13" s="470" t="s">
        <v>396</v>
      </c>
      <c r="E13" s="470" t="s">
        <v>397</v>
      </c>
      <c r="F13" s="470" t="s">
        <v>377</v>
      </c>
      <c r="G13" s="470" t="s">
        <v>380</v>
      </c>
      <c r="H13" s="470"/>
      <c r="I13" s="470"/>
      <c r="J13" s="470"/>
    </row>
    <row r="14" spans="1:10" ht="80.25" customHeight="1" x14ac:dyDescent="0.25">
      <c r="A14" s="470"/>
      <c r="B14" s="470"/>
      <c r="C14" s="470"/>
      <c r="D14" s="470"/>
      <c r="E14" s="470"/>
      <c r="F14" s="470"/>
      <c r="G14" s="211" t="s">
        <v>26</v>
      </c>
      <c r="H14" s="210" t="s">
        <v>4</v>
      </c>
      <c r="I14" s="210" t="s">
        <v>5</v>
      </c>
      <c r="J14" s="210" t="s">
        <v>94</v>
      </c>
    </row>
    <row r="15" spans="1:10" x14ac:dyDescent="0.25">
      <c r="A15" s="211">
        <v>1</v>
      </c>
      <c r="B15" s="211">
        <v>2</v>
      </c>
      <c r="C15" s="211">
        <v>3</v>
      </c>
      <c r="D15" s="211">
        <v>4</v>
      </c>
      <c r="E15" s="211">
        <v>5</v>
      </c>
      <c r="F15" s="211">
        <v>6</v>
      </c>
      <c r="G15" s="211">
        <v>7</v>
      </c>
      <c r="H15" s="211">
        <v>8</v>
      </c>
      <c r="I15" s="211">
        <v>9</v>
      </c>
      <c r="J15" s="211">
        <v>10</v>
      </c>
    </row>
    <row r="16" spans="1:10" ht="24.75" customHeight="1" x14ac:dyDescent="0.25">
      <c r="A16" s="211" t="s">
        <v>2</v>
      </c>
      <c r="B16" s="467" t="s">
        <v>398</v>
      </c>
      <c r="C16" s="468"/>
      <c r="D16" s="468"/>
      <c r="E16" s="468"/>
      <c r="F16" s="468"/>
      <c r="G16" s="468"/>
      <c r="H16" s="468"/>
      <c r="I16" s="468"/>
      <c r="J16" s="469"/>
    </row>
    <row r="17" spans="1:10" ht="22.5" customHeight="1" x14ac:dyDescent="0.25">
      <c r="A17" s="212"/>
      <c r="B17" s="214" t="s">
        <v>399</v>
      </c>
      <c r="C17" s="211"/>
      <c r="D17" s="211"/>
      <c r="E17" s="211"/>
      <c r="F17" s="214" t="s">
        <v>11</v>
      </c>
      <c r="G17" s="215">
        <f>SUM(H17:J17)</f>
        <v>2899.7624000000001</v>
      </c>
      <c r="H17" s="215">
        <f t="shared" ref="H17:J17" si="0">H18</f>
        <v>799.76240000000007</v>
      </c>
      <c r="I17" s="215">
        <f t="shared" si="0"/>
        <v>2100</v>
      </c>
      <c r="J17" s="211">
        <f t="shared" si="0"/>
        <v>0</v>
      </c>
    </row>
    <row r="18" spans="1:10" ht="46.5" customHeight="1" x14ac:dyDescent="0.25">
      <c r="A18" s="212"/>
      <c r="B18" s="214" t="s">
        <v>401</v>
      </c>
      <c r="C18" s="211"/>
      <c r="D18" s="215">
        <f>I18</f>
        <v>2100</v>
      </c>
      <c r="E18" s="211" t="s">
        <v>5</v>
      </c>
      <c r="F18" s="214" t="s">
        <v>400</v>
      </c>
      <c r="G18" s="215">
        <f t="shared" ref="G18" si="1">SUM(H18:J18)</f>
        <v>2899.7624000000001</v>
      </c>
      <c r="H18" s="215">
        <f>'Прил 7 Перечень мероприятий'!G50</f>
        <v>799.76240000000007</v>
      </c>
      <c r="I18" s="215">
        <f>'Прил 7 Перечень мероприятий'!H50</f>
        <v>2100</v>
      </c>
      <c r="J18" s="211">
        <v>0</v>
      </c>
    </row>
    <row r="19" spans="1:10" ht="24.75" customHeight="1" x14ac:dyDescent="0.25">
      <c r="A19" s="211"/>
      <c r="B19" s="214" t="s">
        <v>402</v>
      </c>
      <c r="C19" s="214"/>
      <c r="D19" s="215">
        <f>I19</f>
        <v>2100</v>
      </c>
      <c r="E19" s="214"/>
      <c r="F19" s="214"/>
      <c r="G19" s="215">
        <f>G17</f>
        <v>2899.7624000000001</v>
      </c>
      <c r="H19" s="215">
        <f>H17</f>
        <v>799.76240000000007</v>
      </c>
      <c r="I19" s="215">
        <f t="shared" ref="I19:J19" si="2">I17</f>
        <v>2100</v>
      </c>
      <c r="J19" s="215">
        <f t="shared" si="2"/>
        <v>0</v>
      </c>
    </row>
  </sheetData>
  <mergeCells count="15">
    <mergeCell ref="A7:J7"/>
    <mergeCell ref="A5:J5"/>
    <mergeCell ref="A1:J1"/>
    <mergeCell ref="A2:J2"/>
    <mergeCell ref="A3:J3"/>
    <mergeCell ref="A4:J4"/>
    <mergeCell ref="A6:J6"/>
    <mergeCell ref="B16:J16"/>
    <mergeCell ref="F13:F14"/>
    <mergeCell ref="G13:J13"/>
    <mergeCell ref="A13:A14"/>
    <mergeCell ref="B13:B14"/>
    <mergeCell ref="C13:C14"/>
    <mergeCell ref="D13:D14"/>
    <mergeCell ref="E13:E14"/>
  </mergeCells>
  <pageMargins left="0.51181102362204722" right="0.5118110236220472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5</vt:i4>
      </vt:variant>
    </vt:vector>
  </HeadingPairs>
  <TitlesOfParts>
    <vt:vector size="16" baseType="lpstr">
      <vt:lpstr>Паспорт программы Прил 1</vt:lpstr>
      <vt:lpstr>Прил 2 Паспорт подпр СоЗд усл 1</vt:lpstr>
      <vt:lpstr>Прил 3 пасп подпр СШ 2</vt:lpstr>
      <vt:lpstr>Прил 4 пасп подпр Обесп 3</vt:lpstr>
      <vt:lpstr>Прил 5 Планируемые результаты</vt:lpstr>
      <vt:lpstr>Прил 6 методика расчета</vt:lpstr>
      <vt:lpstr>Прил 7 Перечень мероприятий</vt:lpstr>
      <vt:lpstr>Прил 8 Обоснов фин ресурсов</vt:lpstr>
      <vt:lpstr>Прил 9 Адрес. пер. кап.рем</vt:lpstr>
      <vt:lpstr>Прил 10 Адрес. пер. кап.рем</vt:lpstr>
      <vt:lpstr>Прил 11 Адрес.пер. стр.рек.</vt:lpstr>
      <vt:lpstr>'Паспорт программы Прил 1'!Область_печати</vt:lpstr>
      <vt:lpstr>'Прил 5 Планируемые результаты'!Область_печати</vt:lpstr>
      <vt:lpstr>'Прил 6 методика расчета'!Область_печати</vt:lpstr>
      <vt:lpstr>'Прил 7 Перечень мероприятий'!Область_печати</vt:lpstr>
      <vt:lpstr>'Прил 8 Обоснов фин ресурсов'!Область_печати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2019-06-04T12:00:57Z</dcterms:modified>
</cp:coreProperties>
</file>