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3755" windowHeight="11355" tabRatio="945" activeTab="7"/>
  </bookViews>
  <sheets>
    <sheet name="Паспорт программы Прил 1" sheetId="10" r:id="rId1"/>
    <sheet name="Прил 2 Планируемые результаты" sheetId="1" r:id="rId2"/>
    <sheet name="Прил 3 Паспорт подпр СоЗд усл 1" sheetId="3" r:id="rId3"/>
    <sheet name="Прил 4 пасп подпр СШ 2" sheetId="17" r:id="rId4"/>
    <sheet name="Прил 5 пасп подпр Обесп 3" sheetId="8" r:id="rId5"/>
    <sheet name="Прил 6 Обоснов фин ресурсов" sheetId="12" r:id="rId6"/>
    <sheet name="Прил 7 Перечень мероприятий" sheetId="13" r:id="rId7"/>
    <sheet name="Прил 8 методика расчета" sheetId="16" r:id="rId8"/>
  </sheets>
  <definedNames>
    <definedName name="_xlnm.Print_Area" localSheetId="0">'Паспорт программы Прил 1'!$A$1:$G$44</definedName>
    <definedName name="_xlnm.Print_Area" localSheetId="1">'Прил 2 Планируемые результаты'!$A$1:$K$35</definedName>
    <definedName name="_xlnm.Print_Area" localSheetId="5">'Прил 6 Обоснов фин ресурсов'!$A$1:$G$323</definedName>
    <definedName name="_xlnm.Print_Area" localSheetId="6">'Прил 7 Перечень мероприятий'!$A$1:$M$137</definedName>
  </definedNames>
  <calcPr calcId="144525"/>
</workbook>
</file>

<file path=xl/calcChain.xml><?xml version="1.0" encoding="utf-8"?>
<calcChain xmlns="http://schemas.openxmlformats.org/spreadsheetml/2006/main">
  <c r="F251" i="12" l="1"/>
  <c r="F250" i="12"/>
  <c r="F249" i="12"/>
  <c r="F246" i="12" s="1"/>
  <c r="F248" i="12"/>
  <c r="F247" i="12"/>
  <c r="H24" i="16"/>
  <c r="H22" i="16"/>
  <c r="H21" i="16"/>
  <c r="H19" i="16"/>
  <c r="H17" i="16"/>
  <c r="H12" i="16"/>
  <c r="F104" i="13"/>
  <c r="E104" i="13"/>
  <c r="E103" i="13" s="1"/>
  <c r="K103" i="13"/>
  <c r="J103" i="13"/>
  <c r="I103" i="13"/>
  <c r="H103" i="13"/>
  <c r="G103" i="13"/>
  <c r="F103" i="13" s="1"/>
  <c r="H37" i="13"/>
  <c r="I56" i="13"/>
  <c r="I59" i="13"/>
  <c r="F101" i="12" l="1"/>
  <c r="F100" i="12"/>
  <c r="F99" i="12"/>
  <c r="F98" i="12"/>
  <c r="F97" i="12"/>
  <c r="F239" i="12"/>
  <c r="F238" i="12"/>
  <c r="F237" i="12"/>
  <c r="F235" i="12"/>
  <c r="F143" i="12"/>
  <c r="F142" i="12"/>
  <c r="F141" i="12"/>
  <c r="F139" i="12"/>
  <c r="F137" i="12"/>
  <c r="F136" i="12"/>
  <c r="F135" i="12"/>
  <c r="F134" i="12"/>
  <c r="F133" i="12"/>
  <c r="F131" i="12"/>
  <c r="F130" i="12"/>
  <c r="F129" i="12"/>
  <c r="F128" i="12"/>
  <c r="F127" i="12"/>
  <c r="F95" i="12"/>
  <c r="F94" i="12"/>
  <c r="F93" i="12"/>
  <c r="F92" i="12"/>
  <c r="F91" i="12"/>
  <c r="F89" i="12"/>
  <c r="F88" i="12"/>
  <c r="F87" i="12"/>
  <c r="F86" i="12"/>
  <c r="F85" i="12"/>
  <c r="F14" i="12"/>
  <c r="H92" i="13" l="1"/>
  <c r="H88" i="13"/>
  <c r="H98" i="13"/>
  <c r="H72" i="13"/>
  <c r="I45" i="13"/>
  <c r="J45" i="13"/>
  <c r="K45" i="13"/>
  <c r="H27" i="13"/>
  <c r="F132" i="12" l="1"/>
  <c r="F59" i="13"/>
  <c r="E59" i="13"/>
  <c r="F58" i="13"/>
  <c r="F57" i="13" s="1"/>
  <c r="E58" i="13"/>
  <c r="E57" i="13" s="1"/>
  <c r="K57" i="13"/>
  <c r="J57" i="13"/>
  <c r="I57" i="13"/>
  <c r="H57" i="13"/>
  <c r="G57" i="13"/>
  <c r="F90" i="12" l="1"/>
  <c r="F242" i="12"/>
  <c r="F241" i="12"/>
  <c r="F245" i="12"/>
  <c r="F244" i="12"/>
  <c r="F243" i="12"/>
  <c r="K32" i="10"/>
  <c r="H15" i="13"/>
  <c r="G102" i="13"/>
  <c r="F102" i="13" s="1"/>
  <c r="K101" i="13"/>
  <c r="J101" i="13"/>
  <c r="I101" i="13"/>
  <c r="H101" i="13"/>
  <c r="F240" i="12" l="1"/>
  <c r="G101" i="13"/>
  <c r="F101" i="13" s="1"/>
  <c r="E102" i="13"/>
  <c r="E101" i="13" s="1"/>
  <c r="H56" i="13"/>
  <c r="F56" i="13" l="1"/>
  <c r="E56" i="13"/>
  <c r="F55" i="13"/>
  <c r="E55" i="13"/>
  <c r="K54" i="13"/>
  <c r="J54" i="13"/>
  <c r="I54" i="13"/>
  <c r="G54" i="13"/>
  <c r="G53" i="13"/>
  <c r="E53" i="13" s="1"/>
  <c r="F53" i="13"/>
  <c r="G52" i="13"/>
  <c r="G46" i="13" s="1"/>
  <c r="K51" i="13"/>
  <c r="J51" i="13"/>
  <c r="I51" i="13"/>
  <c r="H51" i="13"/>
  <c r="E52" i="13" l="1"/>
  <c r="F52" i="13"/>
  <c r="H45" i="13"/>
  <c r="G51" i="13"/>
  <c r="H54" i="13"/>
  <c r="E54" i="13"/>
  <c r="E51" i="13"/>
  <c r="F51" i="13"/>
  <c r="F54" i="13"/>
  <c r="F126" i="12"/>
  <c r="H12" i="3"/>
  <c r="I12" i="3"/>
  <c r="G12" i="3"/>
  <c r="F12" i="3"/>
  <c r="G88" i="13" l="1"/>
  <c r="G29" i="13"/>
  <c r="F43" i="13" l="1"/>
  <c r="E43" i="13"/>
  <c r="E42" i="13" s="1"/>
  <c r="K42" i="13"/>
  <c r="J42" i="13"/>
  <c r="I42" i="13"/>
  <c r="H42" i="13"/>
  <c r="G42" i="13"/>
  <c r="F42" i="13" l="1"/>
  <c r="G132" i="13" l="1"/>
  <c r="G127" i="13"/>
  <c r="G125" i="13"/>
  <c r="G123" i="13"/>
  <c r="G119" i="13"/>
  <c r="G98" i="13"/>
  <c r="G96" i="13"/>
  <c r="G94" i="13"/>
  <c r="G92" i="13"/>
  <c r="G90" i="13"/>
  <c r="G84" i="13"/>
  <c r="G80" i="13"/>
  <c r="G78" i="13"/>
  <c r="G50" i="13"/>
  <c r="G45" i="13" s="1"/>
  <c r="G41" i="13"/>
  <c r="G39" i="13"/>
  <c r="G27" i="13"/>
  <c r="G37" i="13"/>
  <c r="G33" i="13"/>
  <c r="G17" i="13"/>
  <c r="G15" i="13"/>
  <c r="E50" i="13" l="1"/>
  <c r="E62" i="13"/>
  <c r="E61" i="13"/>
  <c r="F311" i="12" l="1"/>
  <c r="F310" i="12"/>
  <c r="F309" i="12"/>
  <c r="F307" i="12"/>
  <c r="F308" i="12"/>
  <c r="F236" i="12"/>
  <c r="F197" i="12"/>
  <c r="F196" i="12"/>
  <c r="F195" i="12"/>
  <c r="F194" i="12"/>
  <c r="F83" i="12"/>
  <c r="F82" i="12"/>
  <c r="F81" i="12"/>
  <c r="F80" i="12"/>
  <c r="F79" i="12"/>
  <c r="F217" i="12"/>
  <c r="F218" i="12"/>
  <c r="F219" i="12"/>
  <c r="F220" i="12"/>
  <c r="F221" i="12"/>
  <c r="F323" i="12" l="1"/>
  <c r="F322" i="12"/>
  <c r="F321" i="12"/>
  <c r="F320" i="12"/>
  <c r="F306" i="12"/>
  <c r="F312" i="12"/>
  <c r="F132" i="13"/>
  <c r="F131" i="13" s="1"/>
  <c r="E132" i="13"/>
  <c r="E131" i="13" s="1"/>
  <c r="K131" i="13"/>
  <c r="J131" i="13"/>
  <c r="I131" i="13"/>
  <c r="H131" i="13"/>
  <c r="G131" i="13"/>
  <c r="F319" i="12" l="1"/>
  <c r="F37" i="13" l="1"/>
  <c r="F36" i="13" s="1"/>
  <c r="E37" i="13"/>
  <c r="E36" i="13" s="1"/>
  <c r="K36" i="13"/>
  <c r="J36" i="13"/>
  <c r="I36" i="13"/>
  <c r="H36" i="13"/>
  <c r="G36" i="13"/>
  <c r="F39" i="13"/>
  <c r="F38" i="13" s="1"/>
  <c r="E39" i="13"/>
  <c r="E38" i="13" s="1"/>
  <c r="K38" i="13"/>
  <c r="J38" i="13"/>
  <c r="I38" i="13"/>
  <c r="H38" i="13"/>
  <c r="G38" i="13"/>
  <c r="G13" i="13"/>
  <c r="E11" i="3" l="1"/>
  <c r="G12" i="13"/>
  <c r="F78" i="12"/>
  <c r="F84" i="12"/>
  <c r="F100" i="13" l="1"/>
  <c r="E100" i="13"/>
  <c r="E99" i="13" s="1"/>
  <c r="K99" i="13"/>
  <c r="J99" i="13"/>
  <c r="I99" i="13"/>
  <c r="H99" i="13"/>
  <c r="G99" i="13"/>
  <c r="F99" i="13" l="1"/>
  <c r="F234" i="12"/>
  <c r="F305" i="12" l="1"/>
  <c r="F304" i="12"/>
  <c r="F303" i="12"/>
  <c r="F302" i="12"/>
  <c r="F301" i="12"/>
  <c r="F299" i="12"/>
  <c r="F298" i="12"/>
  <c r="F297" i="12"/>
  <c r="F296" i="12"/>
  <c r="F295" i="12"/>
  <c r="F293" i="12"/>
  <c r="F292" i="12"/>
  <c r="F291" i="12"/>
  <c r="F290" i="12"/>
  <c r="F289" i="12"/>
  <c r="F287" i="12"/>
  <c r="F286" i="12"/>
  <c r="F285" i="12"/>
  <c r="F284" i="12"/>
  <c r="F283" i="12"/>
  <c r="F281" i="12"/>
  <c r="F280" i="12"/>
  <c r="F279" i="12"/>
  <c r="F278" i="12"/>
  <c r="F277" i="12"/>
  <c r="F275" i="12"/>
  <c r="F274" i="12"/>
  <c r="F273" i="12"/>
  <c r="F272" i="12"/>
  <c r="F269" i="12"/>
  <c r="F268" i="12"/>
  <c r="F267" i="12"/>
  <c r="F266" i="12"/>
  <c r="F265" i="12"/>
  <c r="F82" i="13"/>
  <c r="F215" i="12"/>
  <c r="F214" i="12"/>
  <c r="F213" i="12"/>
  <c r="F212" i="12"/>
  <c r="F211" i="12"/>
  <c r="F209" i="12"/>
  <c r="F208" i="12"/>
  <c r="F207" i="12"/>
  <c r="F206" i="12"/>
  <c r="F205" i="12"/>
  <c r="F203" i="12"/>
  <c r="F202" i="12"/>
  <c r="F201" i="12"/>
  <c r="F200" i="12"/>
  <c r="F199" i="12"/>
  <c r="F193" i="12"/>
  <c r="F191" i="12"/>
  <c r="F190" i="12"/>
  <c r="F189" i="12"/>
  <c r="F188" i="12"/>
  <c r="F187" i="12"/>
  <c r="F185" i="12"/>
  <c r="F184" i="12"/>
  <c r="F183" i="12"/>
  <c r="F182" i="12"/>
  <c r="F181" i="12"/>
  <c r="F179" i="12"/>
  <c r="F178" i="12"/>
  <c r="F177" i="12"/>
  <c r="F176" i="12"/>
  <c r="F175" i="12"/>
  <c r="F173" i="12"/>
  <c r="F172" i="12"/>
  <c r="F171" i="12"/>
  <c r="F170" i="12"/>
  <c r="F169" i="12"/>
  <c r="F167" i="12"/>
  <c r="F166" i="12"/>
  <c r="F165" i="12"/>
  <c r="F164" i="12"/>
  <c r="F163" i="12"/>
  <c r="F161" i="12"/>
  <c r="F160" i="12"/>
  <c r="F159" i="12"/>
  <c r="F158" i="12"/>
  <c r="F157" i="12"/>
  <c r="F155" i="12"/>
  <c r="F154" i="12"/>
  <c r="F153" i="12"/>
  <c r="F152" i="12"/>
  <c r="F77" i="12" l="1"/>
  <c r="F76" i="12"/>
  <c r="F75" i="12"/>
  <c r="F74" i="12"/>
  <c r="F71" i="12"/>
  <c r="F70" i="12"/>
  <c r="F69" i="12"/>
  <c r="F68" i="12"/>
  <c r="F65" i="12"/>
  <c r="F64" i="12"/>
  <c r="F63" i="12"/>
  <c r="F62" i="12"/>
  <c r="F59" i="12"/>
  <c r="F58" i="12"/>
  <c r="F57" i="12"/>
  <c r="F56" i="12"/>
  <c r="F55" i="12"/>
  <c r="F53" i="12"/>
  <c r="F52" i="12"/>
  <c r="F51" i="12"/>
  <c r="F50" i="12"/>
  <c r="F49" i="12"/>
  <c r="F47" i="12" l="1"/>
  <c r="F46" i="12"/>
  <c r="F45" i="12"/>
  <c r="F44" i="12"/>
  <c r="F43" i="12"/>
  <c r="F41" i="12"/>
  <c r="F40" i="12"/>
  <c r="F39" i="12"/>
  <c r="F38" i="12"/>
  <c r="F37" i="12"/>
  <c r="F35" i="12"/>
  <c r="F34" i="12"/>
  <c r="F33" i="12"/>
  <c r="F32" i="12"/>
  <c r="F31" i="12"/>
  <c r="F29" i="12"/>
  <c r="F28" i="12"/>
  <c r="F27" i="12"/>
  <c r="F26" i="12"/>
  <c r="F25" i="12"/>
  <c r="F23" i="12"/>
  <c r="F22" i="12"/>
  <c r="F21" i="12"/>
  <c r="F13" i="12"/>
  <c r="F257" i="12" l="1"/>
  <c r="F256" i="12"/>
  <c r="F255" i="12"/>
  <c r="F254" i="12"/>
  <c r="F253" i="12"/>
  <c r="F233" i="12"/>
  <c r="F232" i="12"/>
  <c r="F231" i="12"/>
  <c r="F230" i="12"/>
  <c r="F229" i="12"/>
  <c r="K105" i="13"/>
  <c r="J105" i="13"/>
  <c r="I105" i="13"/>
  <c r="H105" i="13"/>
  <c r="G105" i="13"/>
  <c r="F106" i="13"/>
  <c r="E106" i="13"/>
  <c r="E105" i="13" s="1"/>
  <c r="K97" i="13"/>
  <c r="J97" i="13"/>
  <c r="I97" i="13"/>
  <c r="H97" i="13"/>
  <c r="G97" i="13"/>
  <c r="F98" i="13"/>
  <c r="E98" i="13"/>
  <c r="E97" i="13" s="1"/>
  <c r="F227" i="12"/>
  <c r="F226" i="12"/>
  <c r="F225" i="12"/>
  <c r="F224" i="12"/>
  <c r="F223" i="12"/>
  <c r="K95" i="13"/>
  <c r="J95" i="13"/>
  <c r="I95" i="13"/>
  <c r="H95" i="13"/>
  <c r="G95" i="13"/>
  <c r="F96" i="13"/>
  <c r="E96" i="13"/>
  <c r="E95" i="13" s="1"/>
  <c r="F94" i="13"/>
  <c r="E94" i="13"/>
  <c r="E93" i="13" s="1"/>
  <c r="K93" i="13"/>
  <c r="J93" i="13"/>
  <c r="I93" i="13"/>
  <c r="H93" i="13"/>
  <c r="G93" i="13"/>
  <c r="G71" i="13"/>
  <c r="F140" i="12"/>
  <c r="F119" i="12"/>
  <c r="F118" i="12"/>
  <c r="F117" i="12"/>
  <c r="F116" i="12"/>
  <c r="F113" i="12"/>
  <c r="F112" i="12"/>
  <c r="F111" i="12"/>
  <c r="F110" i="12"/>
  <c r="F115" i="12"/>
  <c r="F109" i="12"/>
  <c r="F105" i="13" l="1"/>
  <c r="F95" i="13"/>
  <c r="F97" i="13"/>
  <c r="F93" i="13"/>
  <c r="F228" i="12"/>
  <c r="F252" i="12"/>
  <c r="F222" i="12"/>
  <c r="F216" i="12"/>
  <c r="F138" i="12"/>
  <c r="F114" i="12"/>
  <c r="F108" i="12"/>
  <c r="G26" i="13"/>
  <c r="F41" i="13"/>
  <c r="F40" i="13" s="1"/>
  <c r="E41" i="13"/>
  <c r="E40" i="13" s="1"/>
  <c r="K40" i="13"/>
  <c r="J40" i="13"/>
  <c r="I40" i="13"/>
  <c r="H40" i="13"/>
  <c r="G40" i="13"/>
  <c r="F96" i="12" l="1"/>
  <c r="G60" i="13"/>
  <c r="H60" i="13"/>
  <c r="I60" i="13"/>
  <c r="J60" i="13"/>
  <c r="K60" i="13"/>
  <c r="F61" i="13"/>
  <c r="F62" i="13"/>
  <c r="E60" i="13" l="1"/>
  <c r="F60" i="13"/>
  <c r="F50" i="13"/>
  <c r="K49" i="13"/>
  <c r="J49" i="13"/>
  <c r="I49" i="13"/>
  <c r="H49" i="13"/>
  <c r="G49" i="13"/>
  <c r="E49" i="13" l="1"/>
  <c r="F49" i="13"/>
  <c r="F271" i="12" l="1"/>
  <c r="F318" i="12" l="1"/>
  <c r="F264" i="12"/>
  <c r="F282" i="12"/>
  <c r="F276" i="12"/>
  <c r="F270" i="12"/>
  <c r="F288" i="12"/>
  <c r="F300" i="12"/>
  <c r="F294" i="12"/>
  <c r="I258" i="12" l="1"/>
  <c r="F74" i="13"/>
  <c r="E74" i="13"/>
  <c r="K73" i="13"/>
  <c r="J73" i="13"/>
  <c r="I73" i="13"/>
  <c r="H73" i="13"/>
  <c r="G73" i="13"/>
  <c r="F76" i="13"/>
  <c r="E76" i="13"/>
  <c r="K75" i="13"/>
  <c r="J75" i="13"/>
  <c r="I75" i="13"/>
  <c r="H75" i="13"/>
  <c r="G75" i="13"/>
  <c r="F78" i="13"/>
  <c r="E78" i="13"/>
  <c r="K77" i="13"/>
  <c r="J77" i="13"/>
  <c r="I77" i="13"/>
  <c r="H77" i="13"/>
  <c r="G77" i="13"/>
  <c r="F73" i="13" l="1"/>
  <c r="F77" i="13"/>
  <c r="F75" i="13"/>
  <c r="F19" i="13"/>
  <c r="F18" i="13" s="1"/>
  <c r="E19" i="13"/>
  <c r="E18" i="13" s="1"/>
  <c r="K18" i="13"/>
  <c r="J18" i="13"/>
  <c r="I18" i="13"/>
  <c r="H18" i="13"/>
  <c r="G18" i="13"/>
  <c r="F21" i="13"/>
  <c r="F20" i="13" s="1"/>
  <c r="E21" i="13"/>
  <c r="E20" i="13" s="1"/>
  <c r="K20" i="13"/>
  <c r="J20" i="13"/>
  <c r="I20" i="13"/>
  <c r="H20" i="13"/>
  <c r="G20" i="13"/>
  <c r="F23" i="13"/>
  <c r="F22" i="13" s="1"/>
  <c r="E23" i="13"/>
  <c r="E22" i="13" s="1"/>
  <c r="K22" i="13"/>
  <c r="J22" i="13"/>
  <c r="I22" i="13"/>
  <c r="H22" i="13"/>
  <c r="G22" i="13"/>
  <c r="N27" i="12" l="1"/>
  <c r="F162" i="12"/>
  <c r="F168" i="12"/>
  <c r="F127" i="13" l="1"/>
  <c r="F126" i="13" s="1"/>
  <c r="E127" i="13"/>
  <c r="E126" i="13" s="1"/>
  <c r="K126" i="13"/>
  <c r="J126" i="13"/>
  <c r="I126" i="13"/>
  <c r="H126" i="13"/>
  <c r="G126" i="13"/>
  <c r="J122" i="13" l="1"/>
  <c r="H122" i="13"/>
  <c r="F123" i="13"/>
  <c r="F122" i="13" s="1"/>
  <c r="E123" i="13"/>
  <c r="E122" i="13" s="1"/>
  <c r="K122" i="13"/>
  <c r="I122" i="13"/>
  <c r="G122" i="13"/>
  <c r="K124" i="13"/>
  <c r="J124" i="13"/>
  <c r="H124" i="13"/>
  <c r="G124" i="13"/>
  <c r="E125" i="13"/>
  <c r="E124" i="13" s="1"/>
  <c r="I124" i="13"/>
  <c r="K114" i="13"/>
  <c r="J114" i="13"/>
  <c r="F115" i="13"/>
  <c r="F114" i="13" s="1"/>
  <c r="H114" i="13"/>
  <c r="G114" i="13"/>
  <c r="E115" i="13"/>
  <c r="E114" i="13" s="1"/>
  <c r="J116" i="13"/>
  <c r="I116" i="13"/>
  <c r="E117" i="13"/>
  <c r="E116" i="13" s="1"/>
  <c r="K116" i="13"/>
  <c r="G116" i="13"/>
  <c r="K118" i="13"/>
  <c r="J118" i="13"/>
  <c r="H118" i="13"/>
  <c r="G118" i="13"/>
  <c r="F119" i="13"/>
  <c r="F118" i="13" s="1"/>
  <c r="E119" i="13"/>
  <c r="E118" i="13" s="1"/>
  <c r="I118" i="13"/>
  <c r="F117" i="13" l="1"/>
  <c r="F116" i="13" s="1"/>
  <c r="F125" i="13"/>
  <c r="F124" i="13" s="1"/>
  <c r="I114" i="13"/>
  <c r="H116" i="13"/>
  <c r="J14" i="17" l="1"/>
  <c r="J13" i="17"/>
  <c r="J13" i="3"/>
  <c r="F151" i="12" l="1"/>
  <c r="F73" i="12"/>
  <c r="F67" i="12"/>
  <c r="F61" i="12"/>
  <c r="N28" i="12"/>
  <c r="F20" i="12" l="1"/>
  <c r="F19" i="12"/>
  <c r="F17" i="12"/>
  <c r="F16" i="12"/>
  <c r="F15" i="12"/>
  <c r="F150" i="12" l="1"/>
  <c r="F156" i="12"/>
  <c r="F72" i="13"/>
  <c r="E90" i="13"/>
  <c r="E89" i="13" s="1"/>
  <c r="G89" i="13"/>
  <c r="F90" i="13"/>
  <c r="G91" i="13"/>
  <c r="E92" i="13"/>
  <c r="E91" i="13" s="1"/>
  <c r="F92" i="13"/>
  <c r="E88" i="13"/>
  <c r="F88" i="13"/>
  <c r="F86" i="13"/>
  <c r="E86" i="13"/>
  <c r="E84" i="13"/>
  <c r="F84" i="13"/>
  <c r="E80" i="13"/>
  <c r="F80" i="13"/>
  <c r="E72" i="13"/>
  <c r="E35" i="13"/>
  <c r="E33" i="13"/>
  <c r="E29" i="13"/>
  <c r="E27" i="13"/>
  <c r="E15" i="13"/>
  <c r="E17" i="13"/>
  <c r="E25" i="13"/>
  <c r="F30" i="12" l="1"/>
  <c r="F66" i="12"/>
  <c r="F72" i="12"/>
  <c r="F36" i="12"/>
  <c r="F24" i="12"/>
  <c r="F60" i="12"/>
  <c r="F18" i="12"/>
  <c r="J89" i="13"/>
  <c r="K89" i="13"/>
  <c r="I89" i="13"/>
  <c r="H89" i="13"/>
  <c r="F27" i="13"/>
  <c r="F26" i="13" s="1"/>
  <c r="E26" i="13"/>
  <c r="K26" i="13"/>
  <c r="J26" i="13"/>
  <c r="I26" i="13"/>
  <c r="H26" i="13"/>
  <c r="F89" i="13" l="1"/>
  <c r="F204" i="12"/>
  <c r="F210" i="12"/>
  <c r="J91" i="13"/>
  <c r="K91" i="13"/>
  <c r="I91" i="13"/>
  <c r="H91" i="13"/>
  <c r="F91" i="13" l="1"/>
  <c r="F48" i="12"/>
  <c r="H46" i="13"/>
  <c r="H66" i="13" s="1"/>
  <c r="H137" i="13" s="1"/>
  <c r="D33" i="10" s="1"/>
  <c r="I46" i="13"/>
  <c r="I66" i="13" s="1"/>
  <c r="I137" i="13" s="1"/>
  <c r="E33" i="10" s="1"/>
  <c r="J46" i="13"/>
  <c r="J66" i="13" s="1"/>
  <c r="J137" i="13" s="1"/>
  <c r="F33" i="10" s="1"/>
  <c r="K46" i="13"/>
  <c r="K66" i="13" s="1"/>
  <c r="K137" i="13" s="1"/>
  <c r="G33" i="10" s="1"/>
  <c r="G66" i="13"/>
  <c r="E12" i="3" s="1"/>
  <c r="J12" i="3" s="1"/>
  <c r="F104" i="12"/>
  <c r="E45" i="13" l="1"/>
  <c r="K44" i="13"/>
  <c r="H44" i="13"/>
  <c r="J44" i="13"/>
  <c r="E46" i="13"/>
  <c r="E66" i="13"/>
  <c r="G137" i="13"/>
  <c r="I44" i="13"/>
  <c r="G44" i="13"/>
  <c r="F103" i="12" s="1"/>
  <c r="F46" i="13"/>
  <c r="F33" i="13"/>
  <c r="F32" i="13" s="1"/>
  <c r="E32" i="13"/>
  <c r="K32" i="13"/>
  <c r="J32" i="13"/>
  <c r="I32" i="13"/>
  <c r="H32" i="13"/>
  <c r="G32" i="13"/>
  <c r="E44" i="13" l="1"/>
  <c r="E137" i="13"/>
  <c r="C33" i="10"/>
  <c r="H30" i="16"/>
  <c r="H10" i="16"/>
  <c r="H11" i="16"/>
  <c r="H25" i="16"/>
  <c r="H26" i="16"/>
  <c r="H13" i="16"/>
  <c r="H9" i="16"/>
  <c r="F129" i="13" l="1"/>
  <c r="F128" i="13" s="1"/>
  <c r="E129" i="13"/>
  <c r="E128" i="13" s="1"/>
  <c r="K128" i="13"/>
  <c r="J128" i="13"/>
  <c r="I128" i="13"/>
  <c r="H128" i="13"/>
  <c r="G128" i="13"/>
  <c r="F121" i="13"/>
  <c r="F120" i="13" s="1"/>
  <c r="E121" i="13"/>
  <c r="E120" i="13" s="1"/>
  <c r="K120" i="13"/>
  <c r="J120" i="13"/>
  <c r="I120" i="13"/>
  <c r="H120" i="13"/>
  <c r="G120" i="13"/>
  <c r="F110" i="13"/>
  <c r="E110" i="13"/>
  <c r="K87" i="13"/>
  <c r="J87" i="13"/>
  <c r="I87" i="13"/>
  <c r="H87" i="13"/>
  <c r="G87" i="13"/>
  <c r="K85" i="13"/>
  <c r="J85" i="13"/>
  <c r="I85" i="13"/>
  <c r="H85" i="13"/>
  <c r="G85" i="13"/>
  <c r="K83" i="13"/>
  <c r="J83" i="13"/>
  <c r="I83" i="13"/>
  <c r="H83" i="13"/>
  <c r="G83" i="13"/>
  <c r="K81" i="13"/>
  <c r="J81" i="13"/>
  <c r="I81" i="13"/>
  <c r="H81" i="13"/>
  <c r="G81" i="13"/>
  <c r="K79" i="13"/>
  <c r="J79" i="13"/>
  <c r="I79" i="13"/>
  <c r="H79" i="13"/>
  <c r="G79" i="13"/>
  <c r="E71" i="13"/>
  <c r="K71" i="13"/>
  <c r="J71" i="13"/>
  <c r="I71" i="13"/>
  <c r="H71" i="13"/>
  <c r="F71" i="13"/>
  <c r="F48" i="13"/>
  <c r="F47" i="13" s="1"/>
  <c r="E48" i="13"/>
  <c r="E47" i="13" s="1"/>
  <c r="K47" i="13"/>
  <c r="F125" i="12" s="1"/>
  <c r="J47" i="13"/>
  <c r="F124" i="12" s="1"/>
  <c r="I47" i="13"/>
  <c r="F123" i="12" s="1"/>
  <c r="H47" i="13"/>
  <c r="F122" i="12" s="1"/>
  <c r="G47" i="13"/>
  <c r="F121" i="12" s="1"/>
  <c r="F35" i="13"/>
  <c r="F34" i="13" s="1"/>
  <c r="E34" i="13"/>
  <c r="K34" i="13"/>
  <c r="J34" i="13"/>
  <c r="I34" i="13"/>
  <c r="H34" i="13"/>
  <c r="G34" i="13"/>
  <c r="F31" i="13"/>
  <c r="F30" i="13" s="1"/>
  <c r="E31" i="13"/>
  <c r="E30" i="13" s="1"/>
  <c r="K30" i="13"/>
  <c r="J30" i="13"/>
  <c r="I30" i="13"/>
  <c r="H30" i="13"/>
  <c r="G30" i="13"/>
  <c r="F29" i="13"/>
  <c r="F28" i="13" s="1"/>
  <c r="E28" i="13"/>
  <c r="K28" i="13"/>
  <c r="J28" i="13"/>
  <c r="I28" i="13"/>
  <c r="H28" i="13"/>
  <c r="G28" i="13"/>
  <c r="F25" i="13"/>
  <c r="F24" i="13" s="1"/>
  <c r="E24" i="13"/>
  <c r="K24" i="13"/>
  <c r="J24" i="13"/>
  <c r="I24" i="13"/>
  <c r="H24" i="13"/>
  <c r="G24" i="13"/>
  <c r="F17" i="13"/>
  <c r="K16" i="13"/>
  <c r="J16" i="13"/>
  <c r="I16" i="13"/>
  <c r="H16" i="13"/>
  <c r="G16" i="13"/>
  <c r="F15" i="13"/>
  <c r="F14" i="13" s="1"/>
  <c r="E14" i="13"/>
  <c r="K14" i="13"/>
  <c r="J14" i="13"/>
  <c r="I14" i="13"/>
  <c r="H14" i="13"/>
  <c r="G14" i="13"/>
  <c r="F12" i="12" s="1"/>
  <c r="G69" i="13" l="1"/>
  <c r="I13" i="13"/>
  <c r="I12" i="13" s="1"/>
  <c r="J13" i="13"/>
  <c r="J12" i="13" s="1"/>
  <c r="H13" i="13"/>
  <c r="K13" i="13"/>
  <c r="F120" i="12"/>
  <c r="G113" i="13"/>
  <c r="G108" i="13"/>
  <c r="H69" i="13"/>
  <c r="H108" i="13" s="1"/>
  <c r="F85" i="13"/>
  <c r="J69" i="13"/>
  <c r="J108" i="13" s="1"/>
  <c r="J107" i="13" s="1"/>
  <c r="K69" i="13"/>
  <c r="K108" i="13" s="1"/>
  <c r="I69" i="13"/>
  <c r="I68" i="13" s="1"/>
  <c r="H113" i="13"/>
  <c r="H112" i="13" s="1"/>
  <c r="H134" i="13" s="1"/>
  <c r="F13" i="8" s="1"/>
  <c r="F12" i="8" s="1"/>
  <c r="F81" i="13"/>
  <c r="F83" i="13"/>
  <c r="K12" i="13"/>
  <c r="I113" i="13"/>
  <c r="J113" i="13"/>
  <c r="J112" i="13" s="1"/>
  <c r="J134" i="13" s="1"/>
  <c r="K113" i="13"/>
  <c r="K112" i="13" s="1"/>
  <c r="K134" i="13" s="1"/>
  <c r="K133" i="13" s="1"/>
  <c r="F16" i="13"/>
  <c r="E16" i="13"/>
  <c r="F79" i="13"/>
  <c r="F137" i="13"/>
  <c r="B33" i="10" s="1"/>
  <c r="F87" i="13"/>
  <c r="H11" i="3" l="1"/>
  <c r="Q13" i="13"/>
  <c r="H12" i="13"/>
  <c r="K64" i="13"/>
  <c r="K63" i="13" s="1"/>
  <c r="I11" i="3"/>
  <c r="I10" i="3" s="1"/>
  <c r="G11" i="3"/>
  <c r="I64" i="13"/>
  <c r="F11" i="3"/>
  <c r="J64" i="13"/>
  <c r="J63" i="13" s="1"/>
  <c r="H10" i="3"/>
  <c r="H64" i="13"/>
  <c r="H63" i="13" s="1"/>
  <c r="G64" i="13"/>
  <c r="I12" i="17"/>
  <c r="I11" i="17" s="1"/>
  <c r="K107" i="13"/>
  <c r="I108" i="13"/>
  <c r="I107" i="13" s="1"/>
  <c r="H68" i="13"/>
  <c r="F198" i="12"/>
  <c r="F180" i="12"/>
  <c r="K68" i="13"/>
  <c r="F186" i="12"/>
  <c r="J68" i="13"/>
  <c r="F192" i="12"/>
  <c r="G68" i="13"/>
  <c r="F54" i="12"/>
  <c r="E13" i="13"/>
  <c r="E12" i="13" s="1"/>
  <c r="F13" i="13"/>
  <c r="F12" i="13" s="1"/>
  <c r="E113" i="13"/>
  <c r="E12" i="17"/>
  <c r="E108" i="13"/>
  <c r="E107" i="13" s="1"/>
  <c r="H12" i="17"/>
  <c r="H133" i="13"/>
  <c r="F12" i="17"/>
  <c r="F11" i="17" s="1"/>
  <c r="G112" i="13"/>
  <c r="E69" i="13"/>
  <c r="J133" i="13"/>
  <c r="F107" i="12"/>
  <c r="F45" i="13"/>
  <c r="F44" i="13" s="1"/>
  <c r="F106" i="12"/>
  <c r="F105" i="12"/>
  <c r="I112" i="13"/>
  <c r="I134" i="13" s="1"/>
  <c r="I133" i="13" s="1"/>
  <c r="F113" i="13"/>
  <c r="F66" i="13"/>
  <c r="I13" i="8"/>
  <c r="I12" i="8" s="1"/>
  <c r="H13" i="8"/>
  <c r="H12" i="8" s="1"/>
  <c r="F69" i="13"/>
  <c r="H107" i="13"/>
  <c r="G107" i="13"/>
  <c r="K136" i="13" l="1"/>
  <c r="K135" i="13" s="1"/>
  <c r="H11" i="17"/>
  <c r="G10" i="3"/>
  <c r="I136" i="13"/>
  <c r="E32" i="10" s="1"/>
  <c r="E34" i="10" s="1"/>
  <c r="I63" i="13"/>
  <c r="F10" i="3"/>
  <c r="J136" i="13"/>
  <c r="J135" i="13" s="1"/>
  <c r="H136" i="13"/>
  <c r="E112" i="13"/>
  <c r="G134" i="13"/>
  <c r="E134" i="13" s="1"/>
  <c r="G63" i="13"/>
  <c r="E68" i="13"/>
  <c r="Q71" i="13"/>
  <c r="F108" i="13"/>
  <c r="G12" i="17"/>
  <c r="G11" i="17" s="1"/>
  <c r="F174" i="12"/>
  <c r="I144" i="12" s="1"/>
  <c r="F42" i="12"/>
  <c r="I10" i="12" s="1"/>
  <c r="F68" i="13"/>
  <c r="E64" i="13"/>
  <c r="E63" i="13" s="1"/>
  <c r="F64" i="13"/>
  <c r="E11" i="17"/>
  <c r="G13" i="8"/>
  <c r="G12" i="8" s="1"/>
  <c r="F112" i="13"/>
  <c r="F102" i="12"/>
  <c r="I11" i="12" s="1"/>
  <c r="F107" i="13"/>
  <c r="I12" i="12" l="1"/>
  <c r="G32" i="10"/>
  <c r="G34" i="10" s="1"/>
  <c r="Q136" i="13"/>
  <c r="F63" i="13"/>
  <c r="E13" i="8"/>
  <c r="J13" i="8" s="1"/>
  <c r="J12" i="8" s="1"/>
  <c r="J12" i="17"/>
  <c r="J11" i="17" s="1"/>
  <c r="E10" i="3"/>
  <c r="J11" i="3"/>
  <c r="J10" i="3" s="1"/>
  <c r="G133" i="13"/>
  <c r="E133" i="13" s="1"/>
  <c r="F134" i="13"/>
  <c r="G136" i="13"/>
  <c r="C32" i="10" s="1"/>
  <c r="I135" i="13"/>
  <c r="F32" i="10"/>
  <c r="F34" i="10" s="1"/>
  <c r="H135" i="13"/>
  <c r="Q135" i="13" s="1"/>
  <c r="D32" i="10"/>
  <c r="D34" i="10" s="1"/>
  <c r="E12" i="8" l="1"/>
  <c r="E136" i="13"/>
  <c r="G135" i="13"/>
  <c r="F135" i="13" s="1"/>
  <c r="F136" i="13"/>
  <c r="B32" i="10" s="1"/>
  <c r="B34" i="10" s="1"/>
  <c r="F133" i="13"/>
  <c r="C34" i="10"/>
  <c r="K33" i="10" s="1"/>
  <c r="E135" i="13" l="1"/>
</calcChain>
</file>

<file path=xl/sharedStrings.xml><?xml version="1.0" encoding="utf-8"?>
<sst xmlns="http://schemas.openxmlformats.org/spreadsheetml/2006/main" count="1202" uniqueCount="403">
  <si>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</si>
  <si>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</si>
  <si>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</si>
  <si>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</si>
  <si>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</si>
  <si>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</si>
  <si>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</si>
  <si>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</si>
  <si>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</si>
  <si>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</si>
  <si>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</si>
  <si>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</si>
  <si>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</si>
  <si>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</si>
  <si>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</si>
  <si>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</si>
  <si>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</si>
  <si>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</si>
  <si>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</si>
  <si>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</si>
  <si>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</si>
  <si>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</si>
  <si>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</si>
  <si>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</si>
  <si>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</si>
  <si>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</si>
  <si>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</si>
  <si>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</si>
  <si>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</si>
  <si>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</si>
  <si>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</si>
  <si>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</si>
  <si>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</si>
  <si>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</si>
  <si>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</si>
  <si>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</si>
  <si>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</si>
  <si>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</si>
  <si>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</si>
  <si>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</si>
  <si>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</si>
  <si>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</si>
  <si>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</si>
  <si>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</si>
  <si>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</si>
  <si>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</si>
  <si>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</si>
  <si>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</si>
  <si>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</si>
  <si>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</si>
  <si>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</si>
  <si>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</si>
  <si>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</si>
  <si>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</si>
  <si>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</si>
  <si>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</si>
  <si>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</si>
  <si>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</si>
  <si>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</si>
  <si>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</si>
  <si>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</si>
  <si>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</si>
  <si>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</si>
  <si>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</si>
  <si>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</si>
  <si>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</si>
  <si>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</si>
  <si>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</si>
  <si>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</si>
  <si>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</si>
  <si>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</si>
  <si>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МКУ РГО «Комитет по физической культуре и спорту»</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</si>
  <si>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</si>
  <si>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</si>
  <si>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</si>
  <si>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</si>
  <si>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</si>
  <si>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</si>
  <si>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</si>
  <si>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</si>
  <si>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</si>
  <si>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</si>
  <si>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</si>
  <si>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</si>
  <si>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</si>
  <si>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</si>
  <si>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</si>
  <si>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</si>
  <si>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</si>
  <si>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МКУ РГО "Комитет по физической культуре и спорту"</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</si>
  <si>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</si>
  <si>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</si>
  <si>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</si>
  <si>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6 Муниципальной программы. </t>
    </r>
  </si>
  <si>
    <t>2020 год</t>
  </si>
  <si>
    <t>2021 год</t>
  </si>
  <si>
    <t>2022 год</t>
  </si>
  <si>
    <t xml:space="preserve">2020 год       </t>
  </si>
  <si>
    <t xml:space="preserve">2021 год       </t>
  </si>
  <si>
    <t xml:space="preserve">2022 год       </t>
  </si>
  <si>
    <t xml:space="preserve">2020 год </t>
  </si>
  <si>
    <t xml:space="preserve">2021 год </t>
  </si>
  <si>
    <t xml:space="preserve">2022 год </t>
  </si>
  <si>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</si>
  <si>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</si>
  <si>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</si>
  <si>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</si>
  <si>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</si>
  <si>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</si>
  <si>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</si>
  <si>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</si>
  <si>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</si>
  <si>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</si>
  <si>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Муниципальное казенное учреждение Рузского городского округа "Комитет по физической культуре и спорту"</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</si>
  <si>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</si>
  <si>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</si>
  <si>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</si>
  <si>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</si>
  <si>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</si>
  <si>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</si>
  <si>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8 к Программе).</t>
    </r>
  </si>
  <si>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</si>
  <si>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</si>
  <si>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</si>
  <si>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</si>
  <si>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</si>
  <si>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</si>
  <si>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</si>
  <si>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</si>
  <si>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</si>
  <si>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</si>
  <si>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</si>
  <si>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</si>
  <si>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</si>
  <si>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</si>
  <si>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</si>
  <si>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</si>
  <si>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</si>
  <si>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</si>
  <si>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</si>
  <si>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Количество плоскостных спортивных сооружений, на которых проведен капитальный ремонт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</si>
  <si>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</si>
  <si>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</si>
  <si>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</si>
  <si>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</si>
  <si>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</si>
  <si>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</si>
  <si>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</si>
  <si>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</si>
  <si>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</si>
  <si>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</si>
  <si>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</si>
  <si>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</si>
  <si>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</si>
  <si>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</si>
  <si>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</si>
  <si>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МКУ РГО "Комитет по физической культуре и спорту", 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</si>
  <si>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</si>
  <si>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Комитета по физической культуре спорту.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населения района.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горордском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районе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районе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</si>
  <si>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№2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</si>
  <si>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</si>
  <si>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</si>
  <si>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</si>
  <si>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</si>
  <si>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</si>
  <si>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</si>
  <si>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</si>
  <si>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</si>
  <si>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</si>
  <si>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</si>
  <si>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</si>
  <si>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</si>
  <si>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</si>
  <si>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</si>
  <si>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</si>
  <si>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</si>
  <si>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</si>
  <si>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</si>
  <si>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</si>
  <si>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</si>
  <si>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</si>
  <si>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Администрация Рузского городского округа;                                                                                                                                                                  Муниципальное казенное учреждение Рузского городского округа "Комитет по физической культуре и спорту"</t>
  </si>
  <si>
    <t>Текущее содержание имущества</t>
  </si>
  <si>
    <t>Приобретение материальных запасов</t>
  </si>
  <si>
    <t xml:space="preserve">Расходы по использованию ИКТ
</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</si>
  <si>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районного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</si>
  <si>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</si>
  <si>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</si>
  <si>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</si>
  <si>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</si>
  <si>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</si>
  <si>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</si>
  <si>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</si>
  <si>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</si>
  <si>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</si>
  <si>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</si>
  <si>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</si>
  <si>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</si>
  <si>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</si>
  <si>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</si>
  <si>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</si>
  <si>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</si>
  <si>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</si>
  <si>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</si>
  <si>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</si>
  <si>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</si>
  <si>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</si>
  <si>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</si>
  <si>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</si>
  <si>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</si>
  <si>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</si>
  <si>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</si>
  <si>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</si>
  <si>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</si>
  <si>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</si>
  <si>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</si>
  <si>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</si>
  <si>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</si>
  <si>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</si>
  <si>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</si>
  <si>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</si>
  <si>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</si>
  <si>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</si>
  <si>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</si>
  <si>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</si>
  <si>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</si>
  <si>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</si>
  <si>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</si>
  <si>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</si>
  <si>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</si>
  <si>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</si>
  <si>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</si>
  <si>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</si>
  <si>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</si>
  <si>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</si>
  <si>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</si>
  <si>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</si>
  <si>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</si>
  <si>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</si>
  <si>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</si>
  <si>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</si>
  <si>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</si>
  <si>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</si>
  <si>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</si>
  <si>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</si>
  <si>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</si>
  <si>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</si>
  <si>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</si>
  <si>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</si>
  <si>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</si>
  <si>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</si>
  <si>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</si>
  <si>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</si>
  <si>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</si>
  <si>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</si>
  <si>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</si>
  <si>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</si>
  <si>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</si>
  <si>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</si>
  <si>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</si>
  <si>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</si>
  <si>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</si>
  <si>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</si>
  <si>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</si>
  <si>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</si>
  <si>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</si>
  <si>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</si>
  <si>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</si>
  <si>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t xml:space="preserve">Мероприятие 1.1.Проведение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</si>
  <si>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</si>
  <si>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</si>
  <si>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</si>
  <si>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</si>
  <si>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</si>
  <si>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</si>
  <si>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</si>
  <si>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</si>
  <si>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</si>
  <si>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</si>
  <si>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</si>
  <si>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</si>
  <si>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</si>
  <si>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</si>
  <si>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</si>
  <si>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2.2.</t>
    </r>
    <r>
      <rPr>
        <sz val="10"/>
        <rFont val="Arial"/>
        <family val="2"/>
        <charset val="204"/>
      </rPr>
      <t xml:space="preserve">  Проведение ремонтных работ футбольного поля по адресу: п. Тучково ул. Новая дом 17.</t>
    </r>
  </si>
  <si>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</si>
  <si>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t xml:space="preserve">Мероприятие 2.2. </t>
    </r>
    <r>
      <rPr>
        <sz val="10"/>
        <rFont val="Arial"/>
        <family val="2"/>
        <charset val="204"/>
      </rPr>
      <t>Проведение ремонтных работ футбольного поля по адресу: п. Тучково, ул. Новая дом 17.</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</si>
  <si>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</si>
  <si>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</si>
  <si>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Выполнение ремонтных работ , приобретение основных средств, оплата сметы, мособлэкспертиза, технадзор.</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</si>
  <si>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</si>
  <si>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</si>
  <si>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</si>
  <si>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</si>
  <si>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</si>
  <si>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</si>
  <si>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</si>
  <si>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</si>
  <si>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 xml:space="preserve">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</si>
  <si>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</si>
  <si>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</si>
  <si>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</si>
  <si>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</si>
  <si>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</si>
  <si>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</si>
  <si>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</si>
  <si>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</si>
  <si>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</si>
  <si>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</si>
  <si>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Доля средств муниципальных программ в сфере физической культуры и спорта, предоставленных социально ориентированным некоммерческим организациям</t>
  </si>
  <si>
    <t>Эффективности взаимодействия органов исполнительной власти субъектов
Российской Федерации (органов местного самоуправления) и СО НКОв
вопросах оказания услуг (работ) населению в сфере физической культуры и
спортапосредством систематизации существующей нормативно-правовой
базы, методических основ и регионального опыта.</t>
  </si>
  <si>
    <t>1.18.</t>
  </si>
  <si>
    <t>1.19.</t>
  </si>
  <si>
    <t>Доля населения, выполнившего нормативы испытаний (тестов) Всероссийского комплекса «Готов к труду и обороне» (ГТО в общей численности населения, принявшего участие в испытаниях (тестах)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</si>
  <si>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</si>
  <si>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(Приоритетный)</t>
  </si>
  <si>
    <t xml:space="preserve">Доля детей и молодежи, систематически занимающихся физической культурой 
и спортом, в общей численности детей и молодежи 
</t>
  </si>
  <si>
    <t>-</t>
  </si>
  <si>
    <t>1 группа</t>
  </si>
  <si>
    <t>Количество установленных скейт-парков в муниципальном образовании Московской области</t>
  </si>
  <si>
    <t>Количество установленных плоскостных спортивных сооружений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</si>
  <si>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</si>
  <si>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</si>
  <si>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Макропоказатель – Эффективность использования существующих объектов спорта (отношение фактической посещаемости к нормативной пропускной способности)</t>
  </si>
  <si>
    <t>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</si>
  <si>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</si>
  <si>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граждан старшего возраста, систематически занимающихся физической культурой и спортом в общей численности граждан старшего возраста</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</si>
  <si>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</si>
  <si>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</si>
  <si>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</si>
  <si>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</si>
  <si>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</si>
  <si>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Уз = Фз / Мс х 100%, где
Уз – уровень загруженности спортивных сооружений;
Фз – фактическая годовая загруженность спортивных сооружений, человек;              
Мс – годовая мощность спортивных сооружений, человек.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</si>
  <si>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</si>
  <si>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Значения натуральных показателей в соответствии с объектами, включенными в государственную программу Московской области «Спорт Подмосковья» </t>
  </si>
  <si>
    <t>Значения натуральных показателей в соответствии с объектами, включенными в государственную программу Московской области «Спорт Подмосковья»</t>
  </si>
  <si>
    <t xml:space="preserve">Единица </t>
  </si>
  <si>
    <t xml:space="preserve">Доля детей и молодежи, систематически занимающихся физической культурой 
и спортом, в общей численности детей и молодежи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</si>
  <si>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</si>
  <si>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</si>
  <si>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</si>
  <si>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</si>
  <si>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Дн=ВыпНормГТО/Кжит, где Дн-доля населения, ВыпНормГТО- выполнившие нормативы ГТО, Кжит количества жителей определенной возрастной категории.</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</si>
  <si>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</si>
  <si>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</si>
  <si>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ЭФФЕКТИВНОСТИ РЕАЛИЗАЦИИ МУНИЦИПАЛЬНОЙ 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</si>
  <si>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</si>
  <si>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Затраты на приобретение основных средств для строительства,  (в том числе с спортивного снаряжения),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сварочный аппарат, болгарка, клепальщик, дрель (ударная), перфоратор, паяльник для полипропилена, набор инструментов, генератор, компрессор, шуруповерт, ламинатор, телефонные аппараты, газонокосилки, техника для обслуживания спортивных сооружений, спортивные комплексы, оборудование, тренажеры, спортивные снаряды.
</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</si>
  <si>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споривного инвентаря, спортивные снаряды, экипировки, спортивная форма, спортивное оборудование.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</si>
  <si>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мебели(столы, шкафы, кресло) ; Зск - затраты на приобретение электрического оборудования, приобретение почтового ящика, диодные светильники, прожектор, принтер МФУ, жалюзи, тент матерчатый телефонный аппарат.
</t>
  </si>
  <si>
    <t xml:space="preserve">Затраты на приобретение услуг сотовой связи,   информационно-телекоммуникационной сети "Интернет", подключение к сети интернет,  приобретение картриджей; Приобретение компьютеров и принтеров МФУ; Гарант, програмное обеспечение, офис, крипто-про, касперский, ремонт и настройка компьютеров, обслуживание сайта.
</t>
  </si>
  <si>
    <r>
      <rPr>
        <b/>
        <sz val="10"/>
        <color theme="1"/>
        <rFont val="Arial"/>
        <family val="2"/>
        <charset val="204"/>
      </rPr>
      <t>Мероприятие 1.15.</t>
    </r>
    <r>
      <rPr>
        <sz val="10"/>
        <color theme="1"/>
        <rFont val="Arial"/>
        <family val="2"/>
        <charset val="204"/>
      </rPr>
      <t xml:space="preserve">
Обеспечение спортивным инвентарем, оборудованием и экипировкой</t>
    </r>
  </si>
  <si>
    <t xml:space="preserve">Объем          
финансирования 
мероприятия в  
текущем        
финансовом году
(тыс. руб.)
</t>
  </si>
  <si>
    <t>Муниципальное бюджетное  учреждение "Волковское"  Рузского городского округа МО</t>
  </si>
  <si>
    <t>МКУ РГО "Комитет по физической культуре и спорту", МБУ РГО "Спортивная школа Руза", Муниципальное бюджетное  учреждение "Волковское"  Рузского городского округа МО</t>
  </si>
  <si>
    <t>Доля жителей Московской области, занимающихся в спортивных организациях, в общей численности детей и молодежи в возрасте 6-15 лет</t>
  </si>
  <si>
    <t>1.20.</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</si>
  <si>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</si>
  <si>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Км = Км1 + Км2 + ... + Кмn, где: 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t>
  </si>
  <si>
    <t>Кгто = Кгто1 + Кгто2 + ... + Кгтоn, где Кгто - количество приобретенных и установленных площадок для сдачи нормативов комплекса "Готов к труду и обороне" (ГТО) в муниципальных образованиях Московской области; Кгто1 - приобретенная и установленная площадка для сдачи нормативов комплекса "Готов к труду и обороне" (ГТО) в 1-м муниципальном образовании Московской области; Кгто2 - приобретенная и установленная площадка для сдачи нормативов комплекса "Готов к труду и обороне" (ГТО) во 2-м муниципальном образовании Московской области; Кгтоn - приобретенная и установленная площадка для сдачи нормативов комплекса "Готов к труду и обороне" (ГТО) в n-м муниципальном образовании Московской области</t>
  </si>
  <si>
    <t xml:space="preserve">Дзэвсм = Кз / Окз x 100%, где:
Дзэвсм - доля по программам СП;
Кз - количество занимающихся  в организациях Московской области, осуществляющих спортивную подготовку;
Окз - общее количество занимающихся, СП, в организациях Московской области, осуществляющих спортивную подготовку
</t>
  </si>
  <si>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</si>
  <si>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</si>
  <si>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t xml:space="preserve">Затраты на уплату налогов: на нагативное воздействие на окружающую среды, имущество, транспорт, землю. </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</si>
  <si>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</si>
  <si>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</si>
  <si>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2.4.</t>
  </si>
  <si>
    <t>2.5.</t>
  </si>
  <si>
    <r>
      <rPr>
        <b/>
        <sz val="10"/>
        <rFont val="Arial"/>
        <family val="2"/>
        <charset val="204"/>
      </rPr>
      <t>Мероприятие 2.5.</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Много функциональные хоккейные площадки п. Тучково, мкр. Восточный</t>
    </r>
  </si>
  <si>
    <r>
      <rPr>
        <b/>
        <sz val="10"/>
        <rFont val="Arial"/>
        <family val="2"/>
        <charset val="204"/>
      </rPr>
      <t>Мероприятие 2.4.</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Многофункциональные хоккейные площадки п. Космодемьянский</t>
    </r>
  </si>
  <si>
    <t xml:space="preserve"> Капитальный ремонт и приобретение оборудования для оснащения плоскостных спортивных сооружений Многофункциональная хоккейная площадка поселок Космодемьянский.</t>
  </si>
  <si>
    <t xml:space="preserve"> Капитальный ремонт и приобретение оборудования для оснащения плоскостных спортивных сооружений Многофункциональная хоккейная площадка поселок Тучково.</t>
  </si>
  <si>
    <r>
      <rPr>
        <b/>
        <sz val="10"/>
        <color theme="1"/>
        <rFont val="Arial"/>
        <family val="2"/>
        <charset val="204"/>
      </rPr>
      <t>Мероприятие 2.4</t>
    </r>
    <r>
      <rPr>
        <sz val="10"/>
        <color theme="1"/>
        <rFont val="Arial"/>
        <family val="2"/>
        <charset val="204"/>
      </rPr>
      <t>.  Капитальный ремонт и приобретение оборудования для оснащения плоскостных спортивных сооружений в Рузском городском округе. Многофункциональные хоккейные площадки п. Космодемьянский</t>
    </r>
  </si>
  <si>
    <r>
      <rPr>
        <b/>
        <sz val="10"/>
        <color theme="1"/>
        <rFont val="Arial"/>
        <family val="2"/>
        <charset val="204"/>
      </rPr>
      <t>Мероприятие 2.5.</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Много функциональные хоккейные площадки п. Тучково, мкр. Восточный</t>
    </r>
  </si>
  <si>
    <r>
      <rPr>
        <b/>
        <sz val="10"/>
        <color theme="1"/>
        <rFont val="Arial"/>
        <family val="2"/>
        <charset val="204"/>
      </rPr>
      <t xml:space="preserve">Мероприятие 1.1. </t>
    </r>
    <r>
      <rPr>
        <sz val="10"/>
        <color theme="1"/>
        <rFont val="Arial"/>
        <family val="2"/>
        <charset val="204"/>
      </rPr>
      <t xml:space="preserve">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r>
  </si>
  <si>
    <r>
      <rPr>
        <b/>
        <sz val="10"/>
        <rFont val="Arial"/>
        <family val="2"/>
        <charset val="204"/>
      </rPr>
      <t>Мероприятие 1.17.</t>
    </r>
    <r>
      <rPr>
        <sz val="10"/>
        <rFont val="Arial"/>
        <family val="2"/>
        <charset val="204"/>
      </rPr>
      <t xml:space="preserve">
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t>
    </r>
  </si>
  <si>
    <r>
      <t xml:space="preserve">Мероприятие 1.17.
</t>
    </r>
    <r>
      <rPr>
        <sz val="10"/>
        <rFont val="Arial"/>
        <family val="2"/>
        <charset val="204"/>
      </rPr>
      <t>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t>
    </r>
  </si>
  <si>
    <t>Проведения комплексных, спортивно-массовых мероприятий среди разных слоев населения по видам спорта и участия спортсменов района в соревнованиях различного уровня;  приобретение наградной атрибутики; Цветы; Призы; Экипировка, предоставление услуг по организации спортивных мероприятий.</t>
  </si>
  <si>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утвержденного Постановлением Главы Рузского Городского Округа от 08.11.2017.№ 2504.
</t>
    </r>
  </si>
  <si>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радиотелефон, ремонт, настройка и обслуживание компьютеров, телефонные аппараты.
</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</si>
  <si>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t>
  </si>
  <si>
    <t>2.6.</t>
  </si>
  <si>
    <r>
      <rPr>
        <b/>
        <sz val="10"/>
        <rFont val="Arial"/>
        <family val="2"/>
        <charset val="204"/>
      </rPr>
      <t>Мероприятие 2.6.</t>
    </r>
    <r>
      <rPr>
        <sz val="10"/>
        <rFont val="Arial"/>
        <family val="2"/>
        <charset val="204"/>
      </rPr>
      <t xml:space="preserve">  Строительство физкультурно-оздоровительного комплекса п. Покровское </t>
    </r>
  </si>
  <si>
    <r>
      <t xml:space="preserve">Мероприятие 2.6.  </t>
    </r>
    <r>
      <rPr>
        <sz val="10"/>
        <color theme="1"/>
        <rFont val="Arial"/>
        <family val="2"/>
        <charset val="204"/>
      </rPr>
      <t xml:space="preserve">Строительство физкультурно-оздоровительного комплекса п. Покровское </t>
    </r>
  </si>
  <si>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безопасности.)Приобретение стенда по охране труда.</t>
  </si>
  <si>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и поверка счетчиков (приборов)  учета, обслуживание,  ремонт газонокосилок, триммеров, садовых тракторов, снегоходов и прочей техники. Услуги по монтажу системы автоматической пожарной сигнализации. Установка колодцев на хоккейных коробках.</t>
  </si>
  <si>
    <t>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 разделители дорожек бассейна, семена спортивного газона. приобретение электротоваров (светильники потолочные светодиодные, прожектора светодиодные уличные, светодиодные лампы, светильники промышленные), топливных гранул (пеллет), семян спортивной газонной травы, удобрений для футбольных полей, эмали, метела.</t>
  </si>
  <si>
    <t xml:space="preserve">Затраты на приобретение услуг сотовой связи,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радиотелефон, ремонт, настройка и обслуживание компьютеров, телефонные аппараты, приобретение  моноблоков.
</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</si>
  <si>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 споривного инвентаря, спортивные снаряды, экипировки, спортивная форма, ГСМ, скребки для уборки снега, приобретение жерналов для тренеров, поставка электрики, поставка строительных материалов.</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</si>
  <si>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 Скребки, лопаты, приобретение электротоваров, поставка банкеток.
</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</si>
  <si>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</si>
  <si>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r>
      <t xml:space="preserve">Мероприятие 1.15. </t>
    </r>
    <r>
      <rPr>
        <sz val="10"/>
        <color theme="1"/>
        <rFont val="Arial"/>
        <family val="2"/>
        <charset val="204"/>
      </rPr>
      <t>Обеспечение спортивным инвентарем, оборудованием и экипировкой</t>
    </r>
  </si>
  <si>
    <t xml:space="preserve">Поставка экипировки и оборудования, приобретение спортивного инвентаря  для занимающихся в секциях по видам спорта.
</t>
  </si>
  <si>
    <t>от "___"________________2019г. № _________</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</si>
  <si>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Координатор Программы - Заместитель главы администрации Рузского городского округа А.А. Журавлев</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Комитет по физической культуре и спорту.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МКУ РГО "Комитет по физической культуре и спорту",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</si>
  <si>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Заместитель главы администрации Рузского городского округа  А.А. Журавлев</t>
  </si>
  <si>
    <t>Обьем финансирования по годам (тыс.руб.)</t>
  </si>
  <si>
    <r>
      <rPr>
        <b/>
        <sz val="10"/>
        <rFont val="Arial"/>
        <family val="2"/>
        <charset val="204"/>
      </rPr>
      <t>Мероприятие 1.18.</t>
    </r>
    <r>
      <rPr>
        <sz val="10"/>
        <rFont val="Arial"/>
        <family val="2"/>
        <charset val="204"/>
      </rPr>
      <t xml:space="preserve">
Обеспечение деятельности по подготовки спортивного резерва в части расходов на страхование, взносов, тренировочных сборов, участие в спортивных мероприятиях( соревнованиях различного уровня)</t>
    </r>
  </si>
  <si>
    <t xml:space="preserve">«Справочно: Единовременная пропускная способность Еф (мощность) спортивных сооружений на конец отчётного года» </t>
  </si>
  <si>
    <t>Человек</t>
  </si>
  <si>
    <t>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                                                                                                             Чзи - численность лиц с ограниченными возможностями здоровья и инвалидов, систематически занимающихся физической культурой и спортом, проживающих в Рузском городском округе, согласно данным федерального статистического наблюдения по форме № 3-АФК, утвержденой приказом федеральной службы государственной статистики от 08.10.2018 № 603;                                             Чни - численность жителей Рузского городского округа с ограниченными возможностями здоровья и инвалидов;
Чнп - численность жителей Рузского городского округа с ограниченными возможностями здоровья и инвалидов, имеющих противопоказания для занятий физической культурой и спортом</t>
  </si>
  <si>
    <r>
      <t xml:space="preserve">Мероприятие 1.18.
</t>
    </r>
    <r>
      <rPr>
        <sz val="10"/>
        <rFont val="Arial"/>
        <family val="2"/>
        <charset val="204"/>
      </rPr>
      <t>Обеспечение деятельности по подготовки спортивного резерва в части расходов на страхование, взносов, тренировочных сборов, участие в спортивных мероприятиях( соревнованиях различного уровня)</t>
    </r>
  </si>
  <si>
    <t>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</si>
</sst>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
      <sz val="10"/>
      <color rgb="FFFF0000"/>
      <name val="Arial"/>
      <family val="2"/>
      <charset val="204"/>
    </font>
    <font>
      <b/>
      <sz val="10"/>
      <color rgb="FFFF0000"/>
      <name val="Arial"/>
      <family val="2"/>
      <charset val="204"/>
    </font>
    <font>
      <sz val="14"/>
      <color theme="1"/>
      <name val="Arial"/>
      <family val="2"/>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42">
    <xf numFmtId="0" fontId="0" fillId="0" borderId="0" xfId="0"/>
    <xf numFmtId="0" fontId="3" fillId="0" borderId="0" xfId="0" applyFont="1"/>
    <xf numFmtId="0" fontId="7" fillId="3" borderId="1" xfId="0" applyFont="1" applyFill="1" applyBorder="1" applyAlignment="1">
      <alignment horizontal="left" vertical="center" wrapText="1"/>
    </xf>
    <xf numFmtId="165" fontId="8"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165" fontId="3" fillId="3"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1" fillId="0" borderId="0" xfId="0" applyFont="1" applyBorder="1" applyAlignment="1">
      <alignment vertical="center" wrapText="1"/>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4" fontId="11" fillId="0" borderId="0" xfId="0" applyNumberFormat="1" applyFont="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0" borderId="1" xfId="0" applyFont="1" applyFill="1" applyBorder="1" applyAlignment="1">
      <alignment vertical="center" wrapText="1"/>
    </xf>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10" fillId="0" borderId="4"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10" fillId="0" borderId="1" xfId="0" applyFont="1" applyFill="1" applyBorder="1" applyAlignment="1">
      <alignment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vertical="top" wrapText="1"/>
    </xf>
    <xf numFmtId="0" fontId="8" fillId="0" borderId="0" xfId="0" applyFont="1" applyAlignment="1">
      <alignment horizontal="center" vertical="center"/>
    </xf>
    <xf numFmtId="165" fontId="15" fillId="0" borderId="0" xfId="0" applyNumberFormat="1" applyFont="1"/>
    <xf numFmtId="0" fontId="16" fillId="0" borderId="1" xfId="0" applyFont="1" applyBorder="1" applyAlignment="1">
      <alignment vertical="center" wrapText="1"/>
    </xf>
    <xf numFmtId="165" fontId="16" fillId="0" borderId="1" xfId="0" applyNumberFormat="1" applyFont="1" applyBorder="1" applyAlignment="1">
      <alignment vertical="center" wrapText="1"/>
    </xf>
    <xf numFmtId="0" fontId="14" fillId="0" borderId="4" xfId="0" applyFont="1" applyBorder="1" applyAlignment="1">
      <alignment horizontal="left" vertical="top" wrapText="1"/>
    </xf>
    <xf numFmtId="0" fontId="14" fillId="0" borderId="1" xfId="0" applyFont="1" applyFill="1" applyBorder="1" applyAlignment="1">
      <alignment horizontal="left" vertical="top" wrapText="1"/>
    </xf>
    <xf numFmtId="4" fontId="15" fillId="0" borderId="0" xfId="0" applyNumberFormat="1" applyFont="1"/>
    <xf numFmtId="3" fontId="14"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165" fontId="3" fillId="0" borderId="0" xfId="0" applyNumberFormat="1" applyFont="1"/>
    <xf numFmtId="0" fontId="12"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2" fontId="24" fillId="0" borderId="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25" fillId="0" borderId="0" xfId="0" applyNumberFormat="1" applyFont="1" applyAlignment="1">
      <alignment horizontal="center" vertical="center"/>
    </xf>
    <xf numFmtId="4" fontId="25" fillId="0" borderId="0" xfId="0" applyNumberFormat="1" applyFont="1" applyFill="1" applyAlignment="1">
      <alignment horizontal="center" vertical="center"/>
    </xf>
    <xf numFmtId="4" fontId="25" fillId="6" borderId="0" xfId="0" applyNumberFormat="1" applyFont="1" applyFill="1" applyAlignment="1">
      <alignment horizontal="center" vertical="center"/>
    </xf>
    <xf numFmtId="4" fontId="10" fillId="0" borderId="0" xfId="0" applyNumberFormat="1" applyFont="1" applyAlignment="1">
      <alignment horizontal="right"/>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pplyProtection="1">
      <alignment horizontal="center" vertical="center" wrapText="1"/>
    </xf>
    <xf numFmtId="4" fontId="12" fillId="0" borderId="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0" fontId="12"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top"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right"/>
    </xf>
    <xf numFmtId="0" fontId="10" fillId="0" borderId="0" xfId="0" applyFont="1" applyAlignment="1">
      <alignment horizont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11" xfId="0" applyFont="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4" fontId="12" fillId="0" borderId="11" xfId="0" applyNumberFormat="1" applyFont="1" applyBorder="1" applyAlignment="1">
      <alignment horizontal="center" vertical="center" wrapText="1"/>
    </xf>
    <xf numFmtId="4" fontId="12" fillId="0" borderId="12" xfId="0" applyNumberFormat="1"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5" borderId="1" xfId="0" applyFont="1" applyFill="1" applyBorder="1" applyAlignment="1">
      <alignment horizontal="center" vertical="top" wrapText="1"/>
    </xf>
    <xf numFmtId="0" fontId="10" fillId="0" borderId="5" xfId="0" applyFont="1" applyBorder="1" applyAlignment="1">
      <alignment horizontal="left"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0" xfId="0"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vertical="top"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65" fontId="17" fillId="0" borderId="1"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0" fillId="2" borderId="1" xfId="0" applyFont="1" applyFill="1" applyBorder="1" applyAlignment="1">
      <alignment vertical="center" wrapText="1"/>
    </xf>
    <xf numFmtId="4" fontId="4" fillId="2" borderId="11"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0" fontId="2" fillId="5" borderId="1"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0" xfId="0" applyFont="1" applyFill="1" applyBorder="1" applyAlignment="1">
      <alignment horizontal="left" vertical="top" wrapText="1"/>
    </xf>
    <xf numFmtId="0" fontId="10" fillId="0" borderId="11" xfId="0" applyFont="1" applyFill="1" applyBorder="1" applyAlignment="1">
      <alignment vertical="top"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165" fontId="3" fillId="0" borderId="1" xfId="0" applyNumberFormat="1" applyFont="1" applyBorder="1" applyAlignment="1">
      <alignment horizontal="center" vertical="center" wrapText="1"/>
    </xf>
    <xf numFmtId="0" fontId="10" fillId="0" borderId="11"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1" xfId="0" applyFont="1" applyBorder="1" applyAlignment="1">
      <alignment vertical="center" wrapText="1"/>
    </xf>
    <xf numFmtId="4" fontId="14" fillId="0" borderId="1" xfId="0" applyNumberFormat="1" applyFont="1" applyBorder="1" applyAlignment="1">
      <alignment horizontal="left" vertical="top" wrapText="1"/>
    </xf>
    <xf numFmtId="4" fontId="14" fillId="0" borderId="1" xfId="0" applyNumberFormat="1" applyFont="1" applyBorder="1" applyAlignment="1">
      <alignment horizontal="center" vertical="top" wrapText="1"/>
    </xf>
    <xf numFmtId="0" fontId="16"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5" fillId="0" borderId="8" xfId="0" applyFont="1" applyBorder="1"/>
    <xf numFmtId="4" fontId="14" fillId="0" borderId="2"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4" fontId="14" fillId="0" borderId="4"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165" fontId="10" fillId="3" borderId="0" xfId="0" applyNumberFormat="1" applyFont="1" applyFill="1" applyAlignment="1">
      <alignment horizontal="right" vertical="center"/>
    </xf>
    <xf numFmtId="165" fontId="11" fillId="3" borderId="0" xfId="0" applyNumberFormat="1" applyFont="1" applyFill="1"/>
    <xf numFmtId="165" fontId="12"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4" fontId="4" fillId="3" borderId="10" xfId="0" applyNumberFormat="1" applyFont="1" applyFill="1" applyBorder="1" applyAlignment="1">
      <alignment horizontal="center" vertical="center" wrapText="1"/>
    </xf>
    <xf numFmtId="165" fontId="11" fillId="3" borderId="0" xfId="0" applyNumberFormat="1" applyFont="1" applyFill="1" applyAlignment="1">
      <alignment vertical="center" wrapText="1"/>
    </xf>
    <xf numFmtId="164" fontId="10" fillId="0" borderId="11"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2" fontId="14" fillId="0" borderId="4"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vertical="center" wrapText="1"/>
    </xf>
    <xf numFmtId="1" fontId="14" fillId="0" borderId="4"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opLeftCell="A17" zoomScale="80" zoomScaleNormal="80" zoomScaleSheetLayoutView="70" zoomScalePageLayoutView="50" workbookViewId="0">
      <selection activeCell="B26" sqref="B26:G26"/>
    </sheetView>
  </sheetViews>
  <sheetFormatPr defaultRowHeight="15" x14ac:dyDescent="0.2"/>
  <cols>
    <col min="1" max="1" width="80.42578125" style="48" customWidth="1"/>
    <col min="2" max="3" width="24.42578125" style="48" customWidth="1"/>
    <col min="4" max="7" width="24.42578125" style="1" customWidth="1"/>
    <col min="8" max="10" width="9.140625" style="1"/>
    <col min="11" max="11" width="16.7109375" style="1" bestFit="1" customWidth="1"/>
    <col min="12" max="16384" width="9.140625" style="1"/>
  </cols>
  <sheetData>
    <row r="1" spans="1:7" x14ac:dyDescent="0.2">
      <c r="A1" s="54" t="s">
        <v>20</v>
      </c>
      <c r="B1" s="55"/>
      <c r="C1" s="55"/>
      <c r="D1" s="55"/>
      <c r="E1" s="221" t="s">
        <v>65</v>
      </c>
      <c r="F1" s="221"/>
      <c r="G1" s="221"/>
    </row>
    <row r="2" spans="1:7" x14ac:dyDescent="0.2">
      <c r="A2" s="54"/>
      <c r="B2" s="55"/>
      <c r="C2" s="55"/>
      <c r="D2" s="55"/>
      <c r="E2" s="221" t="s">
        <v>267</v>
      </c>
      <c r="F2" s="221"/>
      <c r="G2" s="221"/>
    </row>
    <row r="3" spans="1:7" x14ac:dyDescent="0.2">
      <c r="A3" s="54"/>
      <c r="B3" s="55"/>
      <c r="C3" s="55"/>
      <c r="D3" s="55"/>
      <c r="E3" s="221" t="s">
        <v>66</v>
      </c>
      <c r="F3" s="221"/>
      <c r="G3" s="221"/>
    </row>
    <row r="4" spans="1:7" x14ac:dyDescent="0.2">
      <c r="A4" s="56"/>
      <c r="B4" s="55"/>
      <c r="C4" s="55"/>
      <c r="D4" s="55"/>
      <c r="E4" s="222" t="s">
        <v>393</v>
      </c>
      <c r="F4" s="222"/>
      <c r="G4" s="222"/>
    </row>
    <row r="5" spans="1:7" x14ac:dyDescent="0.2">
      <c r="A5" s="54"/>
      <c r="B5" s="55"/>
      <c r="C5" s="55"/>
      <c r="D5" s="55"/>
      <c r="E5" s="55"/>
      <c r="F5" s="55"/>
      <c r="G5" s="55"/>
    </row>
    <row r="6" spans="1:7" x14ac:dyDescent="0.2">
      <c r="A6" s="54"/>
      <c r="B6" s="55"/>
      <c r="C6" s="55"/>
      <c r="D6" s="55"/>
      <c r="E6" s="55"/>
      <c r="F6" s="55"/>
      <c r="G6" s="55"/>
    </row>
    <row r="7" spans="1:7" x14ac:dyDescent="0.2">
      <c r="A7" s="54"/>
      <c r="B7" s="55"/>
      <c r="C7" s="55"/>
      <c r="D7" s="55"/>
      <c r="E7" s="55"/>
      <c r="F7" s="55"/>
      <c r="G7" s="55"/>
    </row>
    <row r="8" spans="1:7" ht="142.5" customHeight="1" x14ac:dyDescent="0.2">
      <c r="A8" s="205"/>
      <c r="B8" s="205"/>
      <c r="C8" s="205"/>
      <c r="D8" s="205"/>
      <c r="E8" s="205"/>
      <c r="F8" s="205"/>
      <c r="G8" s="205"/>
    </row>
    <row r="9" spans="1:7" ht="129.75" customHeight="1" x14ac:dyDescent="0.2">
      <c r="A9" s="54"/>
      <c r="B9" s="223"/>
      <c r="C9" s="223"/>
      <c r="D9" s="223"/>
      <c r="E9" s="55"/>
      <c r="F9" s="55"/>
      <c r="G9" s="55"/>
    </row>
    <row r="10" spans="1:7" x14ac:dyDescent="0.2">
      <c r="A10" s="54"/>
      <c r="B10" s="55"/>
      <c r="C10" s="55"/>
      <c r="D10" s="55"/>
      <c r="E10" s="55"/>
      <c r="F10" s="55"/>
      <c r="G10" s="55"/>
    </row>
    <row r="11" spans="1:7" x14ac:dyDescent="0.2">
      <c r="A11" s="54"/>
      <c r="B11" s="55"/>
      <c r="C11" s="55"/>
      <c r="D11" s="55"/>
      <c r="E11" s="55"/>
      <c r="F11" s="55"/>
      <c r="G11" s="55"/>
    </row>
    <row r="12" spans="1:7" ht="37.5" customHeight="1" x14ac:dyDescent="0.2">
      <c r="A12" s="206" t="s">
        <v>111</v>
      </c>
      <c r="B12" s="206"/>
      <c r="C12" s="206"/>
      <c r="D12" s="206"/>
      <c r="E12" s="206"/>
      <c r="F12" s="206"/>
      <c r="G12" s="206"/>
    </row>
    <row r="13" spans="1:7" ht="48.75" customHeight="1" x14ac:dyDescent="0.2">
      <c r="A13" s="208" t="s">
        <v>118</v>
      </c>
      <c r="B13" s="208"/>
      <c r="C13" s="208"/>
      <c r="D13" s="208"/>
      <c r="E13" s="208"/>
      <c r="F13" s="208"/>
      <c r="G13" s="208"/>
    </row>
    <row r="14" spans="1:7" ht="52.5" customHeight="1" x14ac:dyDescent="0.2">
      <c r="A14" s="208"/>
      <c r="B14" s="208"/>
      <c r="C14" s="208"/>
      <c r="D14" s="208"/>
      <c r="E14" s="208"/>
      <c r="F14" s="208"/>
      <c r="G14" s="208"/>
    </row>
    <row r="15" spans="1:7" ht="86.25" hidden="1" customHeight="1" x14ac:dyDescent="0.2">
      <c r="A15" s="55"/>
      <c r="B15" s="55"/>
      <c r="C15" s="55"/>
      <c r="D15" s="55"/>
      <c r="E15" s="55"/>
      <c r="F15" s="55"/>
      <c r="G15" s="55"/>
    </row>
    <row r="16" spans="1:7" hidden="1" x14ac:dyDescent="0.2">
      <c r="A16" s="57"/>
      <c r="B16" s="55"/>
      <c r="C16" s="55"/>
      <c r="D16" s="55"/>
      <c r="E16" s="55"/>
      <c r="F16" s="55"/>
      <c r="G16" s="55"/>
    </row>
    <row r="17" spans="1:11" ht="189.75" customHeight="1" x14ac:dyDescent="0.2">
      <c r="A17" s="54"/>
      <c r="B17" s="55"/>
      <c r="C17" s="55"/>
      <c r="D17" s="55"/>
      <c r="E17" s="55"/>
      <c r="F17" s="55"/>
      <c r="G17" s="55"/>
    </row>
    <row r="18" spans="1:11" s="5" customFormat="1" ht="14.25" x14ac:dyDescent="0.2">
      <c r="A18" s="219" t="s">
        <v>0</v>
      </c>
      <c r="B18" s="219"/>
      <c r="C18" s="219"/>
      <c r="D18" s="219"/>
      <c r="E18" s="219"/>
      <c r="F18" s="219"/>
      <c r="G18" s="219"/>
      <c r="H18" s="10"/>
      <c r="I18" s="10"/>
      <c r="J18" s="10"/>
      <c r="K18" s="62"/>
    </row>
    <row r="19" spans="1:11" s="5" customFormat="1" ht="14.25" x14ac:dyDescent="0.2">
      <c r="A19" s="220" t="s">
        <v>114</v>
      </c>
      <c r="B19" s="220"/>
      <c r="C19" s="220"/>
      <c r="D19" s="220"/>
      <c r="E19" s="220"/>
      <c r="F19" s="220"/>
      <c r="G19" s="220"/>
      <c r="H19" s="14"/>
      <c r="I19" s="14"/>
      <c r="J19" s="14"/>
      <c r="K19" s="63"/>
    </row>
    <row r="20" spans="1:11" s="5" customFormat="1" ht="14.25" x14ac:dyDescent="0.2">
      <c r="A20" s="219" t="s">
        <v>121</v>
      </c>
      <c r="B20" s="219"/>
      <c r="C20" s="219"/>
      <c r="D20" s="219"/>
      <c r="E20" s="219"/>
      <c r="F20" s="219"/>
      <c r="G20" s="219"/>
      <c r="H20" s="10"/>
      <c r="I20" s="10"/>
      <c r="J20" s="10"/>
      <c r="K20" s="62"/>
    </row>
    <row r="21" spans="1:11" ht="42" customHeight="1" x14ac:dyDescent="0.2">
      <c r="A21" s="207" t="s">
        <v>112</v>
      </c>
      <c r="B21" s="207"/>
      <c r="C21" s="207"/>
      <c r="D21" s="207"/>
      <c r="E21" s="207"/>
      <c r="F21" s="207"/>
      <c r="G21" s="207"/>
    </row>
    <row r="22" spans="1:11" ht="15.75" customHeight="1" x14ac:dyDescent="0.2">
      <c r="A22" s="215" t="s">
        <v>118</v>
      </c>
      <c r="B22" s="215"/>
      <c r="C22" s="215"/>
      <c r="D22" s="215"/>
      <c r="E22" s="215"/>
      <c r="F22" s="215"/>
      <c r="G22" s="215"/>
    </row>
    <row r="23" spans="1:11" ht="15.75" customHeight="1" x14ac:dyDescent="0.2">
      <c r="A23" s="215"/>
      <c r="B23" s="215"/>
      <c r="C23" s="215"/>
      <c r="D23" s="215"/>
      <c r="E23" s="215"/>
      <c r="F23" s="215"/>
      <c r="G23" s="215"/>
    </row>
    <row r="24" spans="1:11" ht="60.75" customHeight="1" x14ac:dyDescent="0.2">
      <c r="A24" s="49" t="s">
        <v>21</v>
      </c>
      <c r="B24" s="204" t="s">
        <v>395</v>
      </c>
      <c r="C24" s="204"/>
      <c r="D24" s="204"/>
      <c r="E24" s="204"/>
      <c r="F24" s="204"/>
      <c r="G24" s="204"/>
    </row>
    <row r="25" spans="1:11" ht="56.25" customHeight="1" x14ac:dyDescent="0.2">
      <c r="A25" s="49" t="s">
        <v>119</v>
      </c>
      <c r="B25" s="209" t="s">
        <v>181</v>
      </c>
      <c r="C25" s="210"/>
      <c r="D25" s="210"/>
      <c r="E25" s="210"/>
      <c r="F25" s="210"/>
      <c r="G25" s="211"/>
    </row>
    <row r="26" spans="1:11" ht="135.75" customHeight="1" x14ac:dyDescent="0.2">
      <c r="A26" s="49" t="s">
        <v>22</v>
      </c>
      <c r="B26" s="212" t="s">
        <v>105</v>
      </c>
      <c r="C26" s="213"/>
      <c r="D26" s="213"/>
      <c r="E26" s="213"/>
      <c r="F26" s="213"/>
      <c r="G26" s="214"/>
    </row>
    <row r="27" spans="1:11" ht="39.75" customHeight="1" x14ac:dyDescent="0.2">
      <c r="A27" s="216" t="s">
        <v>23</v>
      </c>
      <c r="B27" s="204" t="s">
        <v>67</v>
      </c>
      <c r="C27" s="204"/>
      <c r="D27" s="204"/>
      <c r="E27" s="204"/>
      <c r="F27" s="204"/>
      <c r="G27" s="204"/>
    </row>
    <row r="28" spans="1:11" ht="39.75" customHeight="1" x14ac:dyDescent="0.2">
      <c r="A28" s="217"/>
      <c r="B28" s="204" t="s">
        <v>76</v>
      </c>
      <c r="C28" s="204"/>
      <c r="D28" s="204"/>
      <c r="E28" s="204"/>
      <c r="F28" s="204"/>
      <c r="G28" s="204"/>
    </row>
    <row r="29" spans="1:11" ht="35.25" customHeight="1" x14ac:dyDescent="0.2">
      <c r="A29" s="218"/>
      <c r="B29" s="204" t="s">
        <v>77</v>
      </c>
      <c r="C29" s="204"/>
      <c r="D29" s="204"/>
      <c r="E29" s="204"/>
      <c r="F29" s="204"/>
      <c r="G29" s="204"/>
    </row>
    <row r="30" spans="1:11" ht="57.75" customHeight="1" x14ac:dyDescent="0.2">
      <c r="A30" s="49" t="s">
        <v>54</v>
      </c>
      <c r="B30" s="203" t="s">
        <v>25</v>
      </c>
      <c r="C30" s="203"/>
      <c r="D30" s="203"/>
      <c r="E30" s="203"/>
      <c r="F30" s="203"/>
      <c r="G30" s="203"/>
    </row>
    <row r="31" spans="1:11" ht="34.5" customHeight="1" x14ac:dyDescent="0.2">
      <c r="A31" s="49" t="s">
        <v>24</v>
      </c>
      <c r="B31" s="50" t="s">
        <v>26</v>
      </c>
      <c r="C31" s="50" t="s">
        <v>4</v>
      </c>
      <c r="D31" s="50" t="s">
        <v>5</v>
      </c>
      <c r="E31" s="50" t="s">
        <v>94</v>
      </c>
      <c r="F31" s="50" t="s">
        <v>95</v>
      </c>
      <c r="G31" s="50" t="s">
        <v>96</v>
      </c>
    </row>
    <row r="32" spans="1:11" ht="64.5" customHeight="1" x14ac:dyDescent="0.2">
      <c r="A32" s="51" t="s">
        <v>78</v>
      </c>
      <c r="B32" s="26">
        <f>'Прил 7 Перечень мероприятий'!F136</f>
        <v>549558.19993999996</v>
      </c>
      <c r="C32" s="26">
        <f>'Прил 7 Перечень мероприятий'!G136</f>
        <v>113362.06032999999</v>
      </c>
      <c r="D32" s="26">
        <f>'Прил 7 Перечень мероприятий'!H136</f>
        <v>110216.73960999999</v>
      </c>
      <c r="E32" s="26">
        <f>'Прил 7 Перечень мероприятий'!I136</f>
        <v>113836.00000000001</v>
      </c>
      <c r="F32" s="26">
        <f>'Прил 7 Перечень мероприятий'!J136</f>
        <v>106071.70000000001</v>
      </c>
      <c r="G32" s="26">
        <f>'Прил 7 Перечень мероприятий'!K136</f>
        <v>106071.70000000001</v>
      </c>
      <c r="K32" s="1">
        <f>139786420.33/1000</f>
        <v>139786.42033000002</v>
      </c>
    </row>
    <row r="33" spans="1:13" ht="58.5" customHeight="1" x14ac:dyDescent="0.2">
      <c r="A33" s="2" t="s">
        <v>12</v>
      </c>
      <c r="B33" s="3">
        <f>'Прил 7 Перечень мероприятий'!F137</f>
        <v>26424.37</v>
      </c>
      <c r="C33" s="3">
        <f>'Прил 7 Перечень мероприятий'!G137</f>
        <v>26424.37</v>
      </c>
      <c r="D33" s="3">
        <f>'Прил 7 Перечень мероприятий'!H137</f>
        <v>0</v>
      </c>
      <c r="E33" s="3">
        <f>'Прил 7 Перечень мероприятий'!I137</f>
        <v>0</v>
      </c>
      <c r="F33" s="3">
        <f>'Прил 7 Перечень мероприятий'!J137</f>
        <v>0</v>
      </c>
      <c r="G33" s="3">
        <f>'Прил 7 Перечень мероприятий'!K137</f>
        <v>0</v>
      </c>
      <c r="K33" s="152">
        <f>C34-K32</f>
        <v>9.9999999802093953E-3</v>
      </c>
    </row>
    <row r="34" spans="1:13" ht="19.5" customHeight="1" x14ac:dyDescent="0.2">
      <c r="A34" s="49" t="s">
        <v>11</v>
      </c>
      <c r="B34" s="34">
        <f>SUM(B32:B33)</f>
        <v>575982.56993999996</v>
      </c>
      <c r="C34" s="34">
        <f t="shared" ref="C34:G34" si="0">SUM(C32:C33)</f>
        <v>139786.43033</v>
      </c>
      <c r="D34" s="4">
        <f t="shared" si="0"/>
        <v>110216.73960999999</v>
      </c>
      <c r="E34" s="4">
        <f t="shared" si="0"/>
        <v>113836.00000000001</v>
      </c>
      <c r="F34" s="4">
        <f t="shared" si="0"/>
        <v>106071.70000000001</v>
      </c>
      <c r="G34" s="4">
        <f t="shared" si="0"/>
        <v>106071.70000000001</v>
      </c>
    </row>
    <row r="35" spans="1:13" ht="336.75" customHeight="1" x14ac:dyDescent="0.2">
      <c r="A35" s="202" t="s">
        <v>185</v>
      </c>
      <c r="B35" s="202"/>
      <c r="C35" s="202"/>
      <c r="D35" s="202"/>
      <c r="E35" s="202"/>
      <c r="F35" s="202"/>
      <c r="G35" s="202"/>
    </row>
    <row r="36" spans="1:13" ht="390" customHeight="1" x14ac:dyDescent="0.2">
      <c r="A36" s="199" t="s">
        <v>158</v>
      </c>
      <c r="B36" s="199"/>
      <c r="C36" s="199"/>
      <c r="D36" s="199"/>
      <c r="E36" s="199"/>
      <c r="F36" s="199"/>
      <c r="G36" s="199"/>
    </row>
    <row r="37" spans="1:13" ht="72" customHeight="1" x14ac:dyDescent="0.2">
      <c r="A37" s="198" t="s">
        <v>159</v>
      </c>
      <c r="B37" s="198"/>
      <c r="C37" s="198"/>
      <c r="D37" s="198"/>
      <c r="E37" s="198"/>
      <c r="F37" s="198"/>
      <c r="G37" s="198"/>
    </row>
    <row r="38" spans="1:13" ht="291" customHeight="1" x14ac:dyDescent="0.2">
      <c r="A38" s="199" t="s">
        <v>160</v>
      </c>
      <c r="B38" s="199"/>
      <c r="C38" s="199"/>
      <c r="D38" s="199"/>
      <c r="E38" s="199"/>
      <c r="F38" s="199"/>
      <c r="G38" s="199"/>
    </row>
    <row r="39" spans="1:13" ht="65.25" customHeight="1" x14ac:dyDescent="0.2">
      <c r="A39" s="199"/>
      <c r="B39" s="199"/>
      <c r="C39" s="199"/>
      <c r="D39" s="199"/>
      <c r="E39" s="199"/>
      <c r="F39" s="199"/>
      <c r="G39" s="199"/>
      <c r="M39" s="45"/>
    </row>
    <row r="40" spans="1:13" ht="73.5" customHeight="1" x14ac:dyDescent="0.2">
      <c r="A40" s="199" t="s">
        <v>161</v>
      </c>
      <c r="B40" s="199"/>
      <c r="C40" s="199"/>
      <c r="D40" s="199"/>
      <c r="E40" s="199"/>
      <c r="F40" s="199"/>
      <c r="G40" s="199"/>
    </row>
    <row r="41" spans="1:13" ht="69" customHeight="1" x14ac:dyDescent="0.2">
      <c r="A41" s="198" t="s">
        <v>93</v>
      </c>
      <c r="B41" s="198"/>
      <c r="C41" s="198"/>
      <c r="D41" s="198"/>
      <c r="E41" s="198"/>
      <c r="F41" s="198"/>
      <c r="G41" s="198"/>
    </row>
    <row r="42" spans="1:13" ht="70.5" customHeight="1" x14ac:dyDescent="0.2">
      <c r="A42" s="198" t="s">
        <v>120</v>
      </c>
      <c r="B42" s="198"/>
      <c r="C42" s="198"/>
      <c r="D42" s="198"/>
      <c r="E42" s="198"/>
      <c r="F42" s="198"/>
      <c r="G42" s="198"/>
    </row>
    <row r="43" spans="1:13" ht="147" customHeight="1" x14ac:dyDescent="0.2">
      <c r="A43" s="198" t="s">
        <v>394</v>
      </c>
      <c r="B43" s="200"/>
      <c r="C43" s="200"/>
      <c r="D43" s="200"/>
      <c r="E43" s="200"/>
      <c r="F43" s="200"/>
      <c r="G43" s="200"/>
    </row>
    <row r="44" spans="1:13" ht="64.5" customHeight="1" x14ac:dyDescent="0.2">
      <c r="A44" s="201" t="s">
        <v>378</v>
      </c>
      <c r="B44" s="198"/>
      <c r="C44" s="198"/>
      <c r="D44" s="198"/>
      <c r="E44" s="198"/>
      <c r="F44" s="198"/>
      <c r="G44" s="198"/>
    </row>
  </sheetData>
  <mergeCells count="30">
    <mergeCell ref="A19:G19"/>
    <mergeCell ref="A20:G20"/>
    <mergeCell ref="E1:G1"/>
    <mergeCell ref="E2:G2"/>
    <mergeCell ref="E3:G3"/>
    <mergeCell ref="E4:G4"/>
    <mergeCell ref="B9:D9"/>
    <mergeCell ref="A35:G35"/>
    <mergeCell ref="A37:G37"/>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1:G41"/>
    <mergeCell ref="A36:G36"/>
    <mergeCell ref="A43:G43"/>
    <mergeCell ref="A44:G44"/>
    <mergeCell ref="A42:G42"/>
    <mergeCell ref="A38:G39"/>
    <mergeCell ref="A40:G40"/>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4" max="6" man="1"/>
    <brk id="37" max="6"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5"/>
  <sheetViews>
    <sheetView zoomScale="90" zoomScaleNormal="90" zoomScaleSheetLayoutView="90" workbookViewId="0">
      <pane xSplit="1" ySplit="9" topLeftCell="B31" activePane="bottomRight" state="frozen"/>
      <selection pane="topRight" activeCell="B1" sqref="B1"/>
      <selection pane="bottomLeft" activeCell="A10" sqref="A10"/>
      <selection pane="bottomRight" activeCell="D35" sqref="D35"/>
    </sheetView>
  </sheetViews>
  <sheetFormatPr defaultRowHeight="14.25" x14ac:dyDescent="0.2"/>
  <cols>
    <col min="1" max="1" width="5" style="52" customWidth="1"/>
    <col min="2" max="2" width="42.85546875" style="5" customWidth="1"/>
    <col min="3" max="3" width="16.5703125" style="5" customWidth="1"/>
    <col min="4" max="4" width="12" style="5" customWidth="1"/>
    <col min="5" max="5" width="16" style="52" customWidth="1"/>
    <col min="6" max="10" width="13.140625" style="5" customWidth="1"/>
    <col min="11" max="11" width="16" style="5" customWidth="1"/>
    <col min="12" max="16384" width="9.140625" style="5"/>
  </cols>
  <sheetData>
    <row r="1" spans="1:15" x14ac:dyDescent="0.2">
      <c r="A1" s="219" t="s">
        <v>6</v>
      </c>
      <c r="B1" s="219"/>
      <c r="C1" s="219"/>
      <c r="D1" s="219"/>
      <c r="E1" s="219"/>
      <c r="F1" s="219"/>
      <c r="G1" s="219"/>
      <c r="H1" s="219"/>
      <c r="I1" s="219"/>
      <c r="J1" s="219"/>
      <c r="K1" s="219"/>
    </row>
    <row r="2" spans="1:15" x14ac:dyDescent="0.2">
      <c r="A2" s="219" t="s">
        <v>114</v>
      </c>
      <c r="B2" s="219"/>
      <c r="C2" s="219"/>
      <c r="D2" s="219"/>
      <c r="E2" s="219"/>
      <c r="F2" s="219"/>
      <c r="G2" s="219"/>
      <c r="H2" s="219"/>
      <c r="I2" s="219"/>
      <c r="J2" s="219"/>
      <c r="K2" s="219"/>
    </row>
    <row r="3" spans="1:15" x14ac:dyDescent="0.2">
      <c r="A3" s="219" t="s">
        <v>121</v>
      </c>
      <c r="B3" s="219"/>
      <c r="C3" s="219"/>
      <c r="D3" s="219"/>
      <c r="E3" s="219"/>
      <c r="F3" s="219"/>
      <c r="G3" s="219"/>
      <c r="H3" s="219"/>
      <c r="I3" s="219"/>
      <c r="J3" s="219"/>
      <c r="K3" s="219"/>
    </row>
    <row r="4" spans="1:15" ht="12" customHeight="1" x14ac:dyDescent="0.2">
      <c r="A4" s="122"/>
    </row>
    <row r="5" spans="1:15" x14ac:dyDescent="0.2">
      <c r="A5" s="227" t="s">
        <v>115</v>
      </c>
      <c r="B5" s="227"/>
      <c r="C5" s="227"/>
      <c r="D5" s="227"/>
      <c r="E5" s="227"/>
      <c r="F5" s="227"/>
      <c r="G5" s="227"/>
      <c r="H5" s="227"/>
      <c r="I5" s="227"/>
      <c r="J5" s="227"/>
      <c r="K5" s="227"/>
    </row>
    <row r="6" spans="1:15" x14ac:dyDescent="0.2">
      <c r="A6" s="227" t="s">
        <v>118</v>
      </c>
      <c r="B6" s="227"/>
      <c r="C6" s="227"/>
      <c r="D6" s="227"/>
      <c r="E6" s="227"/>
      <c r="F6" s="227"/>
      <c r="G6" s="227"/>
      <c r="H6" s="227"/>
      <c r="I6" s="227"/>
      <c r="J6" s="227"/>
      <c r="K6" s="227"/>
    </row>
    <row r="7" spans="1:15" ht="11.25" customHeight="1" x14ac:dyDescent="0.2">
      <c r="A7" s="115"/>
    </row>
    <row r="8" spans="1:15" ht="17.25" customHeight="1" x14ac:dyDescent="0.2">
      <c r="A8" s="228" t="s">
        <v>129</v>
      </c>
      <c r="B8" s="229" t="s">
        <v>130</v>
      </c>
      <c r="C8" s="229" t="s">
        <v>131</v>
      </c>
      <c r="D8" s="229" t="s">
        <v>1</v>
      </c>
      <c r="E8" s="228" t="s">
        <v>135</v>
      </c>
      <c r="F8" s="228" t="s">
        <v>134</v>
      </c>
      <c r="G8" s="228"/>
      <c r="H8" s="228"/>
      <c r="I8" s="228"/>
      <c r="J8" s="228"/>
      <c r="K8" s="228" t="s">
        <v>132</v>
      </c>
      <c r="L8" s="61"/>
    </row>
    <row r="9" spans="1:15" ht="87.75" customHeight="1" x14ac:dyDescent="0.2">
      <c r="A9" s="228"/>
      <c r="B9" s="230"/>
      <c r="C9" s="230"/>
      <c r="D9" s="230"/>
      <c r="E9" s="228"/>
      <c r="F9" s="121" t="s">
        <v>4</v>
      </c>
      <c r="G9" s="121" t="s">
        <v>5</v>
      </c>
      <c r="H9" s="121" t="s">
        <v>94</v>
      </c>
      <c r="I9" s="121" t="s">
        <v>95</v>
      </c>
      <c r="J9" s="121" t="s">
        <v>96</v>
      </c>
      <c r="K9" s="228"/>
      <c r="L9" s="8"/>
    </row>
    <row r="10" spans="1:15" x14ac:dyDescent="0.2">
      <c r="A10" s="116">
        <v>1</v>
      </c>
      <c r="B10" s="116">
        <v>2</v>
      </c>
      <c r="C10" s="116">
        <v>3</v>
      </c>
      <c r="D10" s="116">
        <v>4</v>
      </c>
      <c r="E10" s="116">
        <v>5</v>
      </c>
      <c r="F10" s="116">
        <v>6</v>
      </c>
      <c r="G10" s="116">
        <v>7</v>
      </c>
      <c r="H10" s="116">
        <v>8</v>
      </c>
      <c r="I10" s="116">
        <v>9</v>
      </c>
      <c r="J10" s="116">
        <v>10</v>
      </c>
      <c r="K10" s="116">
        <v>11</v>
      </c>
      <c r="L10" s="8"/>
    </row>
    <row r="11" spans="1:15" ht="23.25" customHeight="1" x14ac:dyDescent="0.2">
      <c r="A11" s="231" t="s">
        <v>56</v>
      </c>
      <c r="B11" s="232"/>
      <c r="C11" s="232"/>
      <c r="D11" s="232"/>
      <c r="E11" s="232"/>
      <c r="F11" s="232"/>
      <c r="G11" s="232"/>
      <c r="H11" s="232"/>
      <c r="I11" s="232"/>
      <c r="J11" s="232"/>
      <c r="K11" s="233"/>
      <c r="L11" s="61"/>
    </row>
    <row r="12" spans="1:15" ht="87" customHeight="1" x14ac:dyDescent="0.2">
      <c r="A12" s="64" t="s">
        <v>32</v>
      </c>
      <c r="B12" s="118" t="s">
        <v>315</v>
      </c>
      <c r="C12" s="59" t="s">
        <v>318</v>
      </c>
      <c r="D12" s="116" t="s">
        <v>136</v>
      </c>
      <c r="E12" s="123">
        <v>38.5</v>
      </c>
      <c r="F12" s="116">
        <v>38.5</v>
      </c>
      <c r="G12" s="116">
        <v>40.5</v>
      </c>
      <c r="H12" s="116">
        <v>43.6</v>
      </c>
      <c r="I12" s="116">
        <v>45.1</v>
      </c>
      <c r="J12" s="116">
        <v>45.2</v>
      </c>
      <c r="K12" s="119">
        <v>1</v>
      </c>
      <c r="L12" s="61"/>
    </row>
    <row r="13" spans="1:15" ht="57" customHeight="1" x14ac:dyDescent="0.2">
      <c r="A13" s="64" t="s">
        <v>33</v>
      </c>
      <c r="B13" s="117" t="s">
        <v>321</v>
      </c>
      <c r="C13" s="59" t="s">
        <v>318</v>
      </c>
      <c r="D13" s="116" t="s">
        <v>136</v>
      </c>
      <c r="E13" s="72">
        <v>77</v>
      </c>
      <c r="F13" s="119">
        <v>77</v>
      </c>
      <c r="G13" s="119">
        <v>81</v>
      </c>
      <c r="H13" s="119">
        <v>85</v>
      </c>
      <c r="I13" s="119">
        <v>86</v>
      </c>
      <c r="J13" s="119">
        <v>87</v>
      </c>
      <c r="K13" s="119">
        <v>1</v>
      </c>
      <c r="L13" s="8"/>
    </row>
    <row r="14" spans="1:15" ht="69.75" customHeight="1" x14ac:dyDescent="0.2">
      <c r="A14" s="64" t="s">
        <v>34</v>
      </c>
      <c r="B14" s="117" t="s">
        <v>322</v>
      </c>
      <c r="C14" s="59"/>
      <c r="D14" s="116" t="s">
        <v>136</v>
      </c>
      <c r="E14" s="72">
        <v>21</v>
      </c>
      <c r="F14" s="119">
        <v>21</v>
      </c>
      <c r="G14" s="119">
        <v>25.3</v>
      </c>
      <c r="H14" s="119">
        <v>28.9</v>
      </c>
      <c r="I14" s="119">
        <v>28.9</v>
      </c>
      <c r="J14" s="119">
        <v>29</v>
      </c>
      <c r="K14" s="119">
        <v>1</v>
      </c>
      <c r="L14" s="8"/>
    </row>
    <row r="15" spans="1:15" ht="67.5" customHeight="1" x14ac:dyDescent="0.2">
      <c r="A15" s="434" t="s">
        <v>72</v>
      </c>
      <c r="B15" s="440" t="s">
        <v>139</v>
      </c>
      <c r="C15" s="143"/>
      <c r="D15" s="168" t="s">
        <v>149</v>
      </c>
      <c r="E15" s="436">
        <v>71.88</v>
      </c>
      <c r="F15" s="436">
        <v>72.61</v>
      </c>
      <c r="G15" s="436">
        <v>72.61</v>
      </c>
      <c r="H15" s="436">
        <v>72.61</v>
      </c>
      <c r="I15" s="436">
        <v>72.61</v>
      </c>
      <c r="J15" s="436">
        <v>72.61</v>
      </c>
      <c r="K15" s="168">
        <v>1</v>
      </c>
      <c r="L15" s="8"/>
      <c r="O15" s="73"/>
    </row>
    <row r="16" spans="1:15" ht="48.75" customHeight="1" x14ac:dyDescent="0.2">
      <c r="A16" s="435"/>
      <c r="B16" s="440" t="s">
        <v>398</v>
      </c>
      <c r="C16" s="143"/>
      <c r="D16" s="168" t="s">
        <v>399</v>
      </c>
      <c r="E16" s="441">
        <v>4517</v>
      </c>
      <c r="F16" s="441">
        <v>4517</v>
      </c>
      <c r="G16" s="441">
        <v>4517</v>
      </c>
      <c r="H16" s="441">
        <v>4517</v>
      </c>
      <c r="I16" s="441">
        <v>4517</v>
      </c>
      <c r="J16" s="441">
        <v>4517</v>
      </c>
      <c r="K16" s="168">
        <v>1</v>
      </c>
      <c r="L16" s="8"/>
      <c r="O16" s="73"/>
    </row>
    <row r="17" spans="1:12" ht="63" customHeight="1" x14ac:dyDescent="0.2">
      <c r="A17" s="64" t="s">
        <v>73</v>
      </c>
      <c r="B17" s="165" t="s">
        <v>323</v>
      </c>
      <c r="C17" s="143"/>
      <c r="D17" s="166" t="s">
        <v>136</v>
      </c>
      <c r="E17" s="436">
        <v>80</v>
      </c>
      <c r="F17" s="436">
        <v>80</v>
      </c>
      <c r="G17" s="436">
        <v>97</v>
      </c>
      <c r="H17" s="436">
        <v>99</v>
      </c>
      <c r="I17" s="436">
        <v>100</v>
      </c>
      <c r="J17" s="436">
        <v>101</v>
      </c>
      <c r="K17" s="168">
        <v>1</v>
      </c>
      <c r="L17" s="8"/>
    </row>
    <row r="18" spans="1:12" ht="42.75" customHeight="1" x14ac:dyDescent="0.2">
      <c r="A18" s="64" t="s">
        <v>74</v>
      </c>
      <c r="B18" s="129" t="s">
        <v>140</v>
      </c>
      <c r="C18" s="143" t="s">
        <v>318</v>
      </c>
      <c r="D18" s="166" t="s">
        <v>3</v>
      </c>
      <c r="E18" s="168">
        <v>1</v>
      </c>
      <c r="F18" s="168">
        <v>1</v>
      </c>
      <c r="G18" s="168">
        <v>1</v>
      </c>
      <c r="H18" s="168">
        <v>0</v>
      </c>
      <c r="I18" s="168">
        <v>0</v>
      </c>
      <c r="J18" s="168">
        <v>0</v>
      </c>
      <c r="K18" s="168">
        <v>2</v>
      </c>
      <c r="L18" s="8"/>
    </row>
    <row r="19" spans="1:12" ht="42.75" customHeight="1" x14ac:dyDescent="0.2">
      <c r="A19" s="64" t="s">
        <v>75</v>
      </c>
      <c r="B19" s="129" t="s">
        <v>319</v>
      </c>
      <c r="C19" s="143" t="s">
        <v>318</v>
      </c>
      <c r="D19" s="166" t="s">
        <v>3</v>
      </c>
      <c r="E19" s="168">
        <v>1</v>
      </c>
      <c r="F19" s="168" t="s">
        <v>317</v>
      </c>
      <c r="G19" s="168" t="s">
        <v>317</v>
      </c>
      <c r="H19" s="168" t="s">
        <v>317</v>
      </c>
      <c r="I19" s="168" t="s">
        <v>317</v>
      </c>
      <c r="J19" s="168" t="s">
        <v>317</v>
      </c>
      <c r="K19" s="168">
        <v>2</v>
      </c>
      <c r="L19" s="8"/>
    </row>
    <row r="20" spans="1:12" ht="42.75" customHeight="1" x14ac:dyDescent="0.2">
      <c r="A20" s="64" t="s">
        <v>108</v>
      </c>
      <c r="B20" s="129" t="s">
        <v>320</v>
      </c>
      <c r="C20" s="143" t="s">
        <v>318</v>
      </c>
      <c r="D20" s="166" t="s">
        <v>3</v>
      </c>
      <c r="E20" s="168">
        <v>1</v>
      </c>
      <c r="F20" s="168" t="s">
        <v>317</v>
      </c>
      <c r="G20" s="168" t="s">
        <v>317</v>
      </c>
      <c r="H20" s="168" t="s">
        <v>317</v>
      </c>
      <c r="I20" s="168" t="s">
        <v>317</v>
      </c>
      <c r="J20" s="168" t="s">
        <v>317</v>
      </c>
      <c r="K20" s="168">
        <v>2</v>
      </c>
      <c r="L20" s="8"/>
    </row>
    <row r="21" spans="1:12" ht="78.75" customHeight="1" x14ac:dyDescent="0.2">
      <c r="A21" s="64" t="s">
        <v>109</v>
      </c>
      <c r="B21" s="129" t="s">
        <v>380</v>
      </c>
      <c r="C21" s="143"/>
      <c r="D21" s="166" t="s">
        <v>136</v>
      </c>
      <c r="E21" s="168">
        <v>10.26</v>
      </c>
      <c r="F21" s="168">
        <v>12.04</v>
      </c>
      <c r="G21" s="168">
        <v>12.05</v>
      </c>
      <c r="H21" s="168">
        <v>12.05</v>
      </c>
      <c r="I21" s="168">
        <v>15.5</v>
      </c>
      <c r="J21" s="168">
        <v>16</v>
      </c>
      <c r="K21" s="168">
        <v>1</v>
      </c>
      <c r="L21" s="8"/>
    </row>
    <row r="22" spans="1:12" ht="90.75" customHeight="1" x14ac:dyDescent="0.2">
      <c r="A22" s="64" t="s">
        <v>142</v>
      </c>
      <c r="B22" s="129" t="s">
        <v>324</v>
      </c>
      <c r="C22" s="143"/>
      <c r="D22" s="166" t="s">
        <v>3</v>
      </c>
      <c r="E22" s="168">
        <v>1</v>
      </c>
      <c r="F22" s="168">
        <v>1</v>
      </c>
      <c r="G22" s="168">
        <v>1</v>
      </c>
      <c r="H22" s="168" t="s">
        <v>317</v>
      </c>
      <c r="I22" s="168" t="s">
        <v>317</v>
      </c>
      <c r="J22" s="168" t="s">
        <v>317</v>
      </c>
      <c r="K22" s="168">
        <v>2</v>
      </c>
      <c r="L22" s="8"/>
    </row>
    <row r="23" spans="1:12" ht="53.25" customHeight="1" x14ac:dyDescent="0.2">
      <c r="A23" s="64" t="s">
        <v>143</v>
      </c>
      <c r="B23" s="129" t="s">
        <v>316</v>
      </c>
      <c r="C23" s="143" t="s">
        <v>318</v>
      </c>
      <c r="D23" s="166" t="s">
        <v>136</v>
      </c>
      <c r="E23" s="168">
        <v>88.2</v>
      </c>
      <c r="F23" s="168" t="s">
        <v>317</v>
      </c>
      <c r="G23" s="168">
        <v>90</v>
      </c>
      <c r="H23" s="168">
        <v>91</v>
      </c>
      <c r="I23" s="168">
        <v>92</v>
      </c>
      <c r="J23" s="168">
        <v>93</v>
      </c>
      <c r="K23" s="168">
        <v>1</v>
      </c>
      <c r="L23" s="8"/>
    </row>
    <row r="24" spans="1:12" ht="66" customHeight="1" x14ac:dyDescent="0.2">
      <c r="A24" s="64" t="s">
        <v>144</v>
      </c>
      <c r="B24" s="129" t="s">
        <v>308</v>
      </c>
      <c r="C24" s="143"/>
      <c r="D24" s="166" t="s">
        <v>136</v>
      </c>
      <c r="E24" s="168">
        <v>0</v>
      </c>
      <c r="F24" s="168">
        <v>0</v>
      </c>
      <c r="G24" s="168">
        <v>0</v>
      </c>
      <c r="H24" s="168">
        <v>0</v>
      </c>
      <c r="I24" s="168">
        <v>0</v>
      </c>
      <c r="J24" s="168">
        <v>0</v>
      </c>
      <c r="K24" s="168">
        <v>1</v>
      </c>
      <c r="L24" s="8"/>
    </row>
    <row r="25" spans="1:12" ht="54.75" customHeight="1" x14ac:dyDescent="0.2">
      <c r="A25" s="64" t="s">
        <v>145</v>
      </c>
      <c r="B25" s="129" t="s">
        <v>328</v>
      </c>
      <c r="C25" s="143"/>
      <c r="D25" s="166" t="s">
        <v>136</v>
      </c>
      <c r="E25" s="168">
        <v>21.4</v>
      </c>
      <c r="F25" s="168" t="s">
        <v>317</v>
      </c>
      <c r="G25" s="168">
        <v>24</v>
      </c>
      <c r="H25" s="168">
        <v>25.5</v>
      </c>
      <c r="I25" s="168">
        <v>28.5</v>
      </c>
      <c r="J25" s="168">
        <v>33.5</v>
      </c>
      <c r="K25" s="168">
        <v>1</v>
      </c>
      <c r="L25" s="8"/>
    </row>
    <row r="26" spans="1:12" ht="61.5" customHeight="1" x14ac:dyDescent="0.2">
      <c r="A26" s="128" t="s">
        <v>146</v>
      </c>
      <c r="B26" s="129" t="s">
        <v>326</v>
      </c>
      <c r="C26" s="143" t="s">
        <v>318</v>
      </c>
      <c r="D26" s="166" t="s">
        <v>136</v>
      </c>
      <c r="E26" s="168">
        <v>6.1</v>
      </c>
      <c r="F26" s="168" t="s">
        <v>317</v>
      </c>
      <c r="G26" s="168">
        <v>11</v>
      </c>
      <c r="H26" s="168">
        <v>12.5</v>
      </c>
      <c r="I26" s="168">
        <v>14.5</v>
      </c>
      <c r="J26" s="168">
        <v>18.5</v>
      </c>
      <c r="K26" s="168">
        <v>1</v>
      </c>
      <c r="L26" s="8"/>
    </row>
    <row r="27" spans="1:12" ht="55.5" customHeight="1" x14ac:dyDescent="0.2">
      <c r="A27" s="64" t="s">
        <v>147</v>
      </c>
      <c r="B27" s="129" t="s">
        <v>327</v>
      </c>
      <c r="C27" s="143" t="s">
        <v>318</v>
      </c>
      <c r="D27" s="166" t="s">
        <v>136</v>
      </c>
      <c r="E27" s="437">
        <v>256.7</v>
      </c>
      <c r="F27" s="168">
        <v>259.31</v>
      </c>
      <c r="G27" s="168">
        <v>259.31</v>
      </c>
      <c r="H27" s="168">
        <v>259.31</v>
      </c>
      <c r="I27" s="168">
        <v>259.31</v>
      </c>
      <c r="J27" s="168">
        <v>259.31</v>
      </c>
      <c r="K27" s="168">
        <v>1</v>
      </c>
      <c r="L27" s="8"/>
    </row>
    <row r="28" spans="1:12" ht="71.25" customHeight="1" x14ac:dyDescent="0.2">
      <c r="A28" s="64" t="s">
        <v>213</v>
      </c>
      <c r="B28" s="129" t="s">
        <v>313</v>
      </c>
      <c r="C28" s="143"/>
      <c r="D28" s="166" t="s">
        <v>136</v>
      </c>
      <c r="E28" s="168">
        <v>45.36</v>
      </c>
      <c r="F28" s="168" t="s">
        <v>317</v>
      </c>
      <c r="G28" s="168">
        <v>50</v>
      </c>
      <c r="H28" s="168">
        <v>55</v>
      </c>
      <c r="I28" s="168">
        <v>60</v>
      </c>
      <c r="J28" s="168">
        <v>65</v>
      </c>
      <c r="K28" s="168">
        <v>1</v>
      </c>
      <c r="L28" s="8"/>
    </row>
    <row r="29" spans="1:12" ht="126.75" customHeight="1" x14ac:dyDescent="0.2">
      <c r="A29" s="64" t="s">
        <v>307</v>
      </c>
      <c r="B29" s="165" t="s">
        <v>137</v>
      </c>
      <c r="C29" s="143" t="s">
        <v>318</v>
      </c>
      <c r="D29" s="166" t="s">
        <v>136</v>
      </c>
      <c r="E29" s="438">
        <v>30</v>
      </c>
      <c r="F29" s="439">
        <v>55.58</v>
      </c>
      <c r="G29" s="168">
        <v>50</v>
      </c>
      <c r="H29" s="168">
        <v>55</v>
      </c>
      <c r="I29" s="168">
        <v>60</v>
      </c>
      <c r="J29" s="168">
        <v>61</v>
      </c>
      <c r="K29" s="168">
        <v>1</v>
      </c>
      <c r="L29" s="8"/>
    </row>
    <row r="30" spans="1:12" ht="117" customHeight="1" x14ac:dyDescent="0.2">
      <c r="A30" s="64" t="s">
        <v>311</v>
      </c>
      <c r="B30" s="165" t="s">
        <v>138</v>
      </c>
      <c r="C30" s="143"/>
      <c r="D30" s="166" t="s">
        <v>136</v>
      </c>
      <c r="E30" s="438">
        <v>50</v>
      </c>
      <c r="F30" s="168">
        <v>50</v>
      </c>
      <c r="G30" s="168">
        <v>50.3</v>
      </c>
      <c r="H30" s="168">
        <v>50.6</v>
      </c>
      <c r="I30" s="168">
        <v>50.9</v>
      </c>
      <c r="J30" s="168">
        <v>51.2</v>
      </c>
      <c r="K30" s="168">
        <v>1</v>
      </c>
      <c r="L30" s="8"/>
    </row>
    <row r="31" spans="1:12" ht="54.75" customHeight="1" x14ac:dyDescent="0.2">
      <c r="A31" s="64" t="s">
        <v>312</v>
      </c>
      <c r="B31" s="129" t="s">
        <v>325</v>
      </c>
      <c r="C31" s="143"/>
      <c r="D31" s="166" t="s">
        <v>3</v>
      </c>
      <c r="E31" s="168" t="s">
        <v>317</v>
      </c>
      <c r="F31" s="168" t="s">
        <v>317</v>
      </c>
      <c r="G31" s="168" t="s">
        <v>317</v>
      </c>
      <c r="H31" s="168" t="s">
        <v>317</v>
      </c>
      <c r="I31" s="168" t="s">
        <v>317</v>
      </c>
      <c r="J31" s="168" t="s">
        <v>317</v>
      </c>
      <c r="K31" s="168">
        <v>1</v>
      </c>
      <c r="L31" s="8"/>
    </row>
    <row r="32" spans="1:12" ht="54.75" customHeight="1" x14ac:dyDescent="0.2">
      <c r="A32" s="64" t="s">
        <v>356</v>
      </c>
      <c r="B32" s="129" t="s">
        <v>355</v>
      </c>
      <c r="C32" s="143"/>
      <c r="D32" s="166" t="s">
        <v>136</v>
      </c>
      <c r="E32" s="168" t="s">
        <v>317</v>
      </c>
      <c r="F32" s="168" t="s">
        <v>317</v>
      </c>
      <c r="G32" s="168">
        <v>47</v>
      </c>
      <c r="H32" s="168">
        <v>50</v>
      </c>
      <c r="I32" s="168">
        <v>52</v>
      </c>
      <c r="J32" s="168">
        <v>53</v>
      </c>
      <c r="K32" s="168">
        <v>1</v>
      </c>
      <c r="L32" s="8"/>
    </row>
    <row r="33" spans="1:12" ht="26.25" customHeight="1" x14ac:dyDescent="0.2">
      <c r="A33" s="224" t="s">
        <v>79</v>
      </c>
      <c r="B33" s="225"/>
      <c r="C33" s="225"/>
      <c r="D33" s="225"/>
      <c r="E33" s="225"/>
      <c r="F33" s="225"/>
      <c r="G33" s="225"/>
      <c r="H33" s="225"/>
      <c r="I33" s="225"/>
      <c r="J33" s="226"/>
      <c r="K33" s="70"/>
      <c r="L33" s="61"/>
    </row>
    <row r="34" spans="1:12" ht="91.5" customHeight="1" x14ac:dyDescent="0.2">
      <c r="A34" s="71" t="s">
        <v>32</v>
      </c>
      <c r="B34" s="129" t="s">
        <v>141</v>
      </c>
      <c r="C34" s="143"/>
      <c r="D34" s="141" t="s">
        <v>136</v>
      </c>
      <c r="E34" s="141">
        <v>100</v>
      </c>
      <c r="F34" s="141">
        <v>100</v>
      </c>
      <c r="G34" s="141">
        <v>100</v>
      </c>
      <c r="H34" s="141">
        <v>100</v>
      </c>
      <c r="I34" s="141">
        <v>100</v>
      </c>
      <c r="J34" s="141">
        <v>100</v>
      </c>
      <c r="K34" s="142">
        <v>1</v>
      </c>
      <c r="L34" s="61"/>
    </row>
    <row r="35" spans="1:12" ht="90.75" customHeight="1" x14ac:dyDescent="0.2">
      <c r="A35" s="71" t="s">
        <v>33</v>
      </c>
      <c r="B35" s="120" t="s">
        <v>314</v>
      </c>
      <c r="C35" s="116" t="s">
        <v>318</v>
      </c>
      <c r="D35" s="116" t="s">
        <v>136</v>
      </c>
      <c r="E35" s="116">
        <v>72.5</v>
      </c>
      <c r="F35" s="116">
        <v>100</v>
      </c>
      <c r="G35" s="116">
        <v>100</v>
      </c>
      <c r="H35" s="116">
        <v>100</v>
      </c>
      <c r="I35" s="116">
        <v>100</v>
      </c>
      <c r="J35" s="116">
        <v>100</v>
      </c>
      <c r="K35" s="119">
        <v>1</v>
      </c>
      <c r="L35" s="8"/>
    </row>
  </sheetData>
  <mergeCells count="15">
    <mergeCell ref="A33:J33"/>
    <mergeCell ref="A1:K1"/>
    <mergeCell ref="A2:K2"/>
    <mergeCell ref="A3:K3"/>
    <mergeCell ref="A5:K5"/>
    <mergeCell ref="A6:K6"/>
    <mergeCell ref="A8:A9"/>
    <mergeCell ref="E8:E9"/>
    <mergeCell ref="F8:J8"/>
    <mergeCell ref="B8:B9"/>
    <mergeCell ref="C8:C9"/>
    <mergeCell ref="D8:D9"/>
    <mergeCell ref="A11:K11"/>
    <mergeCell ref="K8:K9"/>
    <mergeCell ref="A15:A16"/>
  </mergeCells>
  <pageMargins left="0.51181102362204722" right="0.51181102362204722" top="0.74803149606299213" bottom="0.74803149606299213" header="0.31496062992125984" footer="0.31496062992125984"/>
  <pageSetup paperSize="9" scale="78" fitToHeight="0" orientation="landscape" r:id="rId1"/>
  <rowBreaks count="1" manualBreakCount="1">
    <brk id="2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6"/>
  <sheetViews>
    <sheetView zoomScale="110" zoomScaleNormal="110" workbookViewId="0">
      <selection activeCell="C12" sqref="C12:D12"/>
    </sheetView>
  </sheetViews>
  <sheetFormatPr defaultRowHeight="14.25" x14ac:dyDescent="0.2"/>
  <cols>
    <col min="1" max="1" width="37.28515625" style="5" customWidth="1"/>
    <col min="2" max="2" width="15" style="5" customWidth="1"/>
    <col min="3" max="3" width="9.140625" style="5"/>
    <col min="4" max="4" width="17.5703125" style="5" customWidth="1"/>
    <col min="5" max="5" width="11.7109375" style="5" customWidth="1"/>
    <col min="6" max="7" width="11" style="5" customWidth="1"/>
    <col min="8" max="8" width="10.140625" style="5" customWidth="1"/>
    <col min="9" max="9" width="10.5703125" style="5" customWidth="1"/>
    <col min="10" max="10" width="11" style="5" customWidth="1"/>
    <col min="11" max="16384" width="9.140625" style="5"/>
  </cols>
  <sheetData>
    <row r="1" spans="1:11" ht="18" customHeight="1" x14ac:dyDescent="0.2">
      <c r="A1" s="219" t="s">
        <v>16</v>
      </c>
      <c r="B1" s="219"/>
      <c r="C1" s="219"/>
      <c r="D1" s="219"/>
      <c r="E1" s="219"/>
      <c r="F1" s="219"/>
      <c r="G1" s="219"/>
      <c r="H1" s="219"/>
      <c r="I1" s="219"/>
      <c r="J1" s="219"/>
    </row>
    <row r="2" spans="1:11" x14ac:dyDescent="0.2">
      <c r="A2" s="220" t="s">
        <v>114</v>
      </c>
      <c r="B2" s="220"/>
      <c r="C2" s="220"/>
      <c r="D2" s="220"/>
      <c r="E2" s="220"/>
      <c r="F2" s="220"/>
      <c r="G2" s="220"/>
      <c r="H2" s="220"/>
      <c r="I2" s="220"/>
      <c r="J2" s="220"/>
      <c r="K2" s="10"/>
    </row>
    <row r="3" spans="1:11" x14ac:dyDescent="0.2">
      <c r="A3" s="219" t="s">
        <v>122</v>
      </c>
      <c r="B3" s="219"/>
      <c r="C3" s="219"/>
      <c r="D3" s="219"/>
      <c r="E3" s="219"/>
      <c r="F3" s="219"/>
      <c r="G3" s="219"/>
      <c r="H3" s="219"/>
      <c r="I3" s="219"/>
      <c r="J3" s="219"/>
      <c r="K3" s="10"/>
    </row>
    <row r="4" spans="1:11" x14ac:dyDescent="0.2">
      <c r="A4" s="11"/>
    </row>
    <row r="5" spans="1:11" ht="21" customHeight="1" x14ac:dyDescent="0.2">
      <c r="A5" s="227" t="s">
        <v>64</v>
      </c>
      <c r="B5" s="227"/>
      <c r="C5" s="227"/>
      <c r="D5" s="227"/>
      <c r="E5" s="227"/>
      <c r="F5" s="227"/>
      <c r="G5" s="227"/>
      <c r="H5" s="227"/>
      <c r="I5" s="227"/>
      <c r="J5" s="227"/>
    </row>
    <row r="6" spans="1:11" ht="26.25" customHeight="1" x14ac:dyDescent="0.2">
      <c r="A6" s="240" t="s">
        <v>186</v>
      </c>
      <c r="B6" s="227"/>
      <c r="C6" s="227"/>
      <c r="D6" s="227"/>
      <c r="E6" s="227"/>
      <c r="F6" s="227"/>
      <c r="G6" s="227"/>
      <c r="H6" s="227"/>
      <c r="I6" s="227"/>
      <c r="J6" s="227"/>
    </row>
    <row r="7" spans="1:11" ht="38.25" customHeight="1" x14ac:dyDescent="0.2">
      <c r="A7" s="68" t="s">
        <v>7</v>
      </c>
      <c r="B7" s="237" t="s">
        <v>113</v>
      </c>
      <c r="C7" s="237"/>
      <c r="D7" s="237"/>
      <c r="E7" s="237"/>
      <c r="F7" s="237"/>
      <c r="G7" s="237"/>
      <c r="H7" s="237"/>
      <c r="I7" s="237"/>
      <c r="J7" s="238"/>
    </row>
    <row r="8" spans="1:11" ht="27.75" customHeight="1" x14ac:dyDescent="0.2">
      <c r="A8" s="234" t="s">
        <v>57</v>
      </c>
      <c r="B8" s="239" t="s">
        <v>13</v>
      </c>
      <c r="C8" s="239" t="s">
        <v>14</v>
      </c>
      <c r="D8" s="239"/>
      <c r="E8" s="228" t="s">
        <v>8</v>
      </c>
      <c r="F8" s="228"/>
      <c r="G8" s="228"/>
      <c r="H8" s="228"/>
      <c r="I8" s="228"/>
      <c r="J8" s="228"/>
    </row>
    <row r="9" spans="1:11" ht="27.75" customHeight="1" x14ac:dyDescent="0.2">
      <c r="A9" s="235"/>
      <c r="B9" s="239"/>
      <c r="C9" s="239"/>
      <c r="D9" s="239"/>
      <c r="E9" s="53" t="s">
        <v>9</v>
      </c>
      <c r="F9" s="53" t="s">
        <v>10</v>
      </c>
      <c r="G9" s="53" t="s">
        <v>97</v>
      </c>
      <c r="H9" s="53" t="s">
        <v>98</v>
      </c>
      <c r="I9" s="53" t="s">
        <v>99</v>
      </c>
      <c r="J9" s="53" t="s">
        <v>11</v>
      </c>
    </row>
    <row r="10" spans="1:11" ht="32.25" customHeight="1" x14ac:dyDescent="0.2">
      <c r="A10" s="235"/>
      <c r="B10" s="244" t="s">
        <v>167</v>
      </c>
      <c r="C10" s="241" t="s">
        <v>124</v>
      </c>
      <c r="D10" s="241"/>
      <c r="E10" s="65">
        <f t="shared" ref="E10:I10" si="0">E11+E12+E13</f>
        <v>94786.490819999992</v>
      </c>
      <c r="F10" s="65">
        <f t="shared" si="0"/>
        <v>70159.73771999999</v>
      </c>
      <c r="G10" s="65">
        <f t="shared" si="0"/>
        <v>71657.5</v>
      </c>
      <c r="H10" s="65">
        <f t="shared" si="0"/>
        <v>63835.6</v>
      </c>
      <c r="I10" s="65">
        <f t="shared" si="0"/>
        <v>63835.6</v>
      </c>
      <c r="J10" s="65">
        <f>SUM(J11:J13)</f>
        <v>364274.92853999994</v>
      </c>
    </row>
    <row r="11" spans="1:11" ht="42" customHeight="1" x14ac:dyDescent="0.2">
      <c r="A11" s="235"/>
      <c r="B11" s="244"/>
      <c r="C11" s="242" t="s">
        <v>78</v>
      </c>
      <c r="D11" s="243"/>
      <c r="E11" s="65">
        <f>'Прил 7 Перечень мероприятий'!G13+'Прил 7 Перечень мероприятий'!G45</f>
        <v>68362.120819999996</v>
      </c>
      <c r="F11" s="65">
        <f>'Прил 7 Перечень мероприятий'!H13+'Прил 7 Перечень мероприятий'!H45</f>
        <v>66659.73771999999</v>
      </c>
      <c r="G11" s="65">
        <f>'Прил 7 Перечень мероприятий'!I13+'Прил 7 Перечень мероприятий'!I45</f>
        <v>71657.5</v>
      </c>
      <c r="H11" s="65">
        <f>'Прил 7 Перечень мероприятий'!J13+'Прил 7 Перечень мероприятий'!J45</f>
        <v>63835.6</v>
      </c>
      <c r="I11" s="65">
        <f>'Прил 7 Перечень мероприятий'!K13+'Прил 7 Перечень мероприятий'!K45</f>
        <v>63835.6</v>
      </c>
      <c r="J11" s="65">
        <f>SUM(E11:I11)</f>
        <v>334350.55853999994</v>
      </c>
    </row>
    <row r="12" spans="1:11" ht="53.25" customHeight="1" x14ac:dyDescent="0.2">
      <c r="A12" s="235"/>
      <c r="B12" s="244"/>
      <c r="C12" s="241" t="s">
        <v>12</v>
      </c>
      <c r="D12" s="241"/>
      <c r="E12" s="65">
        <f>'Прил 7 Перечень мероприятий'!G66</f>
        <v>26424.37</v>
      </c>
      <c r="F12" s="65">
        <f>'Прил 7 Перечень мероприятий'!H62</f>
        <v>3500</v>
      </c>
      <c r="G12" s="65">
        <f>'Прил 7 Перечень мероприятий'!I62</f>
        <v>0</v>
      </c>
      <c r="H12" s="65">
        <f>'Прил 7 Перечень мероприятий'!J62</f>
        <v>0</v>
      </c>
      <c r="I12" s="65">
        <f>'Прил 7 Перечень мероприятий'!K62</f>
        <v>0</v>
      </c>
      <c r="J12" s="65">
        <f>SUM(E12:I12)</f>
        <v>29924.37</v>
      </c>
    </row>
    <row r="13" spans="1:11" ht="42" customHeight="1" x14ac:dyDescent="0.2">
      <c r="A13" s="236"/>
      <c r="B13" s="244"/>
      <c r="C13" s="241" t="s">
        <v>55</v>
      </c>
      <c r="D13" s="241"/>
      <c r="E13" s="65">
        <v>0</v>
      </c>
      <c r="F13" s="65">
        <v>0</v>
      </c>
      <c r="G13" s="65">
        <v>0</v>
      </c>
      <c r="H13" s="65">
        <v>0</v>
      </c>
      <c r="I13" s="65">
        <v>0</v>
      </c>
      <c r="J13" s="65">
        <f>SUM(E13:I13)</f>
        <v>0</v>
      </c>
    </row>
    <row r="14" spans="1:11" x14ac:dyDescent="0.2">
      <c r="A14" s="8"/>
    </row>
    <row r="15" spans="1:11" x14ac:dyDescent="0.2">
      <c r="A15" s="11"/>
    </row>
    <row r="16" spans="1:11" x14ac:dyDescent="0.2">
      <c r="F16" s="20"/>
      <c r="G16" s="20"/>
      <c r="H16" s="20"/>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G12" sqref="G12"/>
    </sheetView>
  </sheetViews>
  <sheetFormatPr defaultRowHeight="14.25" x14ac:dyDescent="0.2"/>
  <cols>
    <col min="1" max="1" width="37.7109375" style="13" customWidth="1"/>
    <col min="2" max="2" width="15.85546875" style="13" customWidth="1"/>
    <col min="3" max="3" width="9.140625" style="13"/>
    <col min="4" max="4" width="16" style="13" customWidth="1"/>
    <col min="5" max="5" width="11.7109375" style="13" customWidth="1"/>
    <col min="6" max="7" width="11" style="13" customWidth="1"/>
    <col min="8" max="8" width="10.140625" style="13" customWidth="1"/>
    <col min="9" max="9" width="10.5703125" style="13" customWidth="1"/>
    <col min="10" max="10" width="11" style="13" customWidth="1"/>
    <col min="11" max="16384" width="9.140625" style="13"/>
  </cols>
  <sheetData>
    <row r="1" spans="1:11" x14ac:dyDescent="0.2">
      <c r="A1" s="220" t="s">
        <v>106</v>
      </c>
      <c r="B1" s="220"/>
      <c r="C1" s="220"/>
      <c r="D1" s="220"/>
      <c r="E1" s="220"/>
      <c r="F1" s="220"/>
      <c r="G1" s="220"/>
      <c r="H1" s="220"/>
      <c r="I1" s="220"/>
      <c r="J1" s="220"/>
    </row>
    <row r="2" spans="1:11" x14ac:dyDescent="0.2">
      <c r="A2" s="220" t="s">
        <v>114</v>
      </c>
      <c r="B2" s="220"/>
      <c r="C2" s="220"/>
      <c r="D2" s="220"/>
      <c r="E2" s="220"/>
      <c r="F2" s="220"/>
      <c r="G2" s="220"/>
      <c r="H2" s="220"/>
      <c r="I2" s="220"/>
      <c r="J2" s="220"/>
      <c r="K2" s="14"/>
    </row>
    <row r="3" spans="1:11" ht="15" x14ac:dyDescent="0.2">
      <c r="A3" s="220" t="s">
        <v>123</v>
      </c>
      <c r="B3" s="220"/>
      <c r="C3" s="220"/>
      <c r="D3" s="220"/>
      <c r="E3" s="220"/>
      <c r="F3" s="220"/>
      <c r="G3" s="220"/>
      <c r="H3" s="220"/>
      <c r="I3" s="220"/>
      <c r="J3" s="220"/>
      <c r="K3" s="14"/>
    </row>
    <row r="4" spans="1:11" x14ac:dyDescent="0.2">
      <c r="A4" s="47"/>
    </row>
    <row r="5" spans="1:11" x14ac:dyDescent="0.2">
      <c r="A5" s="249" t="s">
        <v>81</v>
      </c>
      <c r="B5" s="249"/>
      <c r="C5" s="249"/>
      <c r="D5" s="249"/>
      <c r="E5" s="249"/>
      <c r="F5" s="249"/>
      <c r="G5" s="249"/>
      <c r="H5" s="249"/>
      <c r="I5" s="249"/>
      <c r="J5" s="249"/>
    </row>
    <row r="6" spans="1:11" x14ac:dyDescent="0.2">
      <c r="A6" s="250" t="s">
        <v>80</v>
      </c>
      <c r="B6" s="250"/>
      <c r="C6" s="250"/>
      <c r="D6" s="250"/>
      <c r="E6" s="250"/>
      <c r="F6" s="250"/>
      <c r="G6" s="250"/>
      <c r="H6" s="250"/>
      <c r="I6" s="250"/>
      <c r="J6" s="250"/>
    </row>
    <row r="7" spans="1:11" x14ac:dyDescent="0.2">
      <c r="A7" s="16"/>
    </row>
    <row r="8" spans="1:11" s="5" customFormat="1" ht="38.25" customHeight="1" x14ac:dyDescent="0.2">
      <c r="A8" s="68" t="s">
        <v>7</v>
      </c>
      <c r="B8" s="245" t="s">
        <v>113</v>
      </c>
      <c r="C8" s="245"/>
      <c r="D8" s="245"/>
      <c r="E8" s="245"/>
      <c r="F8" s="245"/>
      <c r="G8" s="245"/>
      <c r="H8" s="245"/>
      <c r="I8" s="245"/>
      <c r="J8" s="246"/>
    </row>
    <row r="9" spans="1:11" s="5" customFormat="1" ht="27.75" customHeight="1" x14ac:dyDescent="0.2">
      <c r="A9" s="247" t="s">
        <v>57</v>
      </c>
      <c r="B9" s="239" t="s">
        <v>13</v>
      </c>
      <c r="C9" s="248" t="s">
        <v>14</v>
      </c>
      <c r="D9" s="248"/>
      <c r="E9" s="228" t="s">
        <v>8</v>
      </c>
      <c r="F9" s="228"/>
      <c r="G9" s="228"/>
      <c r="H9" s="228"/>
      <c r="I9" s="228"/>
      <c r="J9" s="228"/>
    </row>
    <row r="10" spans="1:11" s="5" customFormat="1" ht="24" customHeight="1" x14ac:dyDescent="0.2">
      <c r="A10" s="247"/>
      <c r="B10" s="239"/>
      <c r="C10" s="248"/>
      <c r="D10" s="248"/>
      <c r="E10" s="46" t="s">
        <v>9</v>
      </c>
      <c r="F10" s="46" t="s">
        <v>10</v>
      </c>
      <c r="G10" s="46" t="s">
        <v>97</v>
      </c>
      <c r="H10" s="46" t="s">
        <v>98</v>
      </c>
      <c r="I10" s="46" t="s">
        <v>99</v>
      </c>
      <c r="J10" s="46" t="s">
        <v>11</v>
      </c>
    </row>
    <row r="11" spans="1:11" s="5" customFormat="1" ht="34.5" customHeight="1" x14ac:dyDescent="0.2">
      <c r="A11" s="247"/>
      <c r="B11" s="244" t="s">
        <v>167</v>
      </c>
      <c r="C11" s="241" t="s">
        <v>125</v>
      </c>
      <c r="D11" s="241"/>
      <c r="E11" s="65">
        <f>SUM(E12:E14)</f>
        <v>37882.112949999995</v>
      </c>
      <c r="F11" s="65">
        <f t="shared" ref="F11:I11" si="0">SUM(F12:F14)</f>
        <v>35924.101889999998</v>
      </c>
      <c r="G11" s="65">
        <f t="shared" si="0"/>
        <v>34401.700000000004</v>
      </c>
      <c r="H11" s="65">
        <f t="shared" si="0"/>
        <v>34448.5</v>
      </c>
      <c r="I11" s="65">
        <f t="shared" si="0"/>
        <v>34448.5</v>
      </c>
      <c r="J11" s="65">
        <f>SUM(J12:J14)</f>
        <v>177104.91484000001</v>
      </c>
    </row>
    <row r="12" spans="1:11" s="5" customFormat="1" ht="39.75" customHeight="1" x14ac:dyDescent="0.2">
      <c r="A12" s="247"/>
      <c r="B12" s="244"/>
      <c r="C12" s="241" t="s">
        <v>78</v>
      </c>
      <c r="D12" s="241"/>
      <c r="E12" s="65">
        <f>'Прил 7 Перечень мероприятий'!G108</f>
        <v>37882.112949999995</v>
      </c>
      <c r="F12" s="65">
        <f>'Прил 7 Перечень мероприятий'!H108</f>
        <v>35924.101889999998</v>
      </c>
      <c r="G12" s="65">
        <f>'Прил 7 Перечень мероприятий'!I108</f>
        <v>34401.700000000004</v>
      </c>
      <c r="H12" s="65">
        <f>'Прил 7 Перечень мероприятий'!J108</f>
        <v>34448.5</v>
      </c>
      <c r="I12" s="65">
        <f>'Прил 7 Перечень мероприятий'!K108</f>
        <v>34448.5</v>
      </c>
      <c r="J12" s="65">
        <f>SUM(E12:I12)</f>
        <v>177104.91484000001</v>
      </c>
    </row>
    <row r="13" spans="1:11" s="5" customFormat="1" ht="49.5" customHeight="1" x14ac:dyDescent="0.2">
      <c r="A13" s="247"/>
      <c r="B13" s="244"/>
      <c r="C13" s="241" t="s">
        <v>12</v>
      </c>
      <c r="D13" s="241"/>
      <c r="E13" s="65">
        <v>0</v>
      </c>
      <c r="F13" s="65">
        <v>0</v>
      </c>
      <c r="G13" s="65">
        <v>0</v>
      </c>
      <c r="H13" s="65">
        <v>0</v>
      </c>
      <c r="I13" s="65">
        <v>0</v>
      </c>
      <c r="J13" s="65">
        <f>SUM(E13:I13)</f>
        <v>0</v>
      </c>
    </row>
    <row r="14" spans="1:11" s="5" customFormat="1" ht="43.5" customHeight="1" x14ac:dyDescent="0.2">
      <c r="A14" s="247"/>
      <c r="B14" s="244"/>
      <c r="C14" s="241" t="s">
        <v>55</v>
      </c>
      <c r="D14" s="241"/>
      <c r="E14" s="65">
        <v>0</v>
      </c>
      <c r="F14" s="65">
        <v>0</v>
      </c>
      <c r="G14" s="65">
        <v>0</v>
      </c>
      <c r="H14" s="65">
        <v>0</v>
      </c>
      <c r="I14" s="65">
        <v>0</v>
      </c>
      <c r="J14" s="65">
        <f>SUM(E14:I14)</f>
        <v>0</v>
      </c>
    </row>
    <row r="15" spans="1:11" x14ac:dyDescent="0.2">
      <c r="A15" s="18"/>
      <c r="B15" s="18"/>
      <c r="C15" s="18"/>
      <c r="D15" s="18"/>
      <c r="E15" s="18"/>
      <c r="F15" s="19"/>
      <c r="G15" s="19"/>
      <c r="H15" s="18"/>
      <c r="I15" s="18"/>
      <c r="J15" s="18"/>
    </row>
    <row r="16" spans="1:11" x14ac:dyDescent="0.2">
      <c r="A16" s="47"/>
      <c r="F16" s="131"/>
      <c r="G16" s="131"/>
      <c r="H16" s="131"/>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M13" sqref="M13"/>
    </sheetView>
  </sheetViews>
  <sheetFormatPr defaultRowHeight="14.25" x14ac:dyDescent="0.2"/>
  <cols>
    <col min="1" max="1" width="37.5703125" style="13" customWidth="1"/>
    <col min="2" max="2" width="15.5703125" style="13" customWidth="1"/>
    <col min="3" max="3" width="9.140625" style="13"/>
    <col min="4" max="4" width="16.140625" style="13" customWidth="1"/>
    <col min="5" max="5" width="11.7109375" style="13" customWidth="1"/>
    <col min="6" max="7" width="11" style="13" customWidth="1"/>
    <col min="8" max="8" width="10.140625" style="13" customWidth="1"/>
    <col min="9" max="9" width="10.5703125" style="13" customWidth="1"/>
    <col min="10" max="10" width="11" style="13" customWidth="1"/>
    <col min="11" max="16384" width="9.140625" style="13"/>
  </cols>
  <sheetData>
    <row r="1" spans="1:11" x14ac:dyDescent="0.2">
      <c r="A1" s="220" t="s">
        <v>17</v>
      </c>
      <c r="B1" s="220"/>
      <c r="C1" s="220"/>
      <c r="D1" s="220"/>
      <c r="E1" s="220"/>
      <c r="F1" s="220"/>
      <c r="G1" s="220"/>
      <c r="H1" s="220"/>
      <c r="I1" s="220"/>
      <c r="J1" s="220"/>
    </row>
    <row r="2" spans="1:11" x14ac:dyDescent="0.2">
      <c r="A2" s="220" t="s">
        <v>114</v>
      </c>
      <c r="B2" s="220"/>
      <c r="C2" s="220"/>
      <c r="D2" s="220"/>
      <c r="E2" s="220"/>
      <c r="F2" s="220"/>
      <c r="G2" s="220"/>
      <c r="H2" s="220"/>
      <c r="I2" s="220"/>
      <c r="J2" s="220"/>
      <c r="K2" s="14"/>
    </row>
    <row r="3" spans="1:11" ht="15" x14ac:dyDescent="0.2">
      <c r="A3" s="220" t="s">
        <v>126</v>
      </c>
      <c r="B3" s="220"/>
      <c r="C3" s="220"/>
      <c r="D3" s="220"/>
      <c r="E3" s="220"/>
      <c r="F3" s="220"/>
      <c r="G3" s="220"/>
      <c r="H3" s="220"/>
      <c r="I3" s="220"/>
      <c r="J3" s="220"/>
      <c r="K3" s="14"/>
    </row>
    <row r="4" spans="1:11" x14ac:dyDescent="0.2">
      <c r="A4" s="15"/>
    </row>
    <row r="5" spans="1:11" x14ac:dyDescent="0.2">
      <c r="A5" s="249" t="s">
        <v>107</v>
      </c>
      <c r="B5" s="249"/>
      <c r="C5" s="249"/>
      <c r="D5" s="249"/>
      <c r="E5" s="249"/>
      <c r="F5" s="249"/>
      <c r="G5" s="249"/>
      <c r="H5" s="249"/>
      <c r="I5" s="249"/>
      <c r="J5" s="249"/>
    </row>
    <row r="6" spans="1:11" x14ac:dyDescent="0.2">
      <c r="A6" s="250" t="s">
        <v>19</v>
      </c>
      <c r="B6" s="250"/>
      <c r="C6" s="250"/>
      <c r="D6" s="250"/>
      <c r="E6" s="250"/>
      <c r="F6" s="250"/>
      <c r="G6" s="250"/>
      <c r="H6" s="250"/>
      <c r="I6" s="250"/>
      <c r="J6" s="250"/>
    </row>
    <row r="7" spans="1:11" x14ac:dyDescent="0.2">
      <c r="A7" s="16"/>
    </row>
    <row r="8" spans="1:11" ht="38.25" customHeight="1" x14ac:dyDescent="0.2">
      <c r="A8" s="69" t="s">
        <v>7</v>
      </c>
      <c r="B8" s="251" t="s">
        <v>113</v>
      </c>
      <c r="C8" s="251"/>
      <c r="D8" s="251"/>
      <c r="E8" s="251"/>
      <c r="F8" s="251"/>
      <c r="G8" s="251"/>
      <c r="H8" s="251"/>
      <c r="I8" s="251"/>
      <c r="J8" s="252"/>
    </row>
    <row r="9" spans="1:11" ht="27.75" customHeight="1" x14ac:dyDescent="0.2">
      <c r="A9" s="254" t="s">
        <v>15</v>
      </c>
      <c r="B9" s="255" t="s">
        <v>13</v>
      </c>
      <c r="C9" s="256" t="s">
        <v>14</v>
      </c>
      <c r="D9" s="256"/>
      <c r="E9" s="257" t="s">
        <v>8</v>
      </c>
      <c r="F9" s="257"/>
      <c r="G9" s="257"/>
      <c r="H9" s="257"/>
      <c r="I9" s="257"/>
      <c r="J9" s="257"/>
    </row>
    <row r="10" spans="1:11" ht="31.5" hidden="1" customHeight="1" x14ac:dyDescent="0.2">
      <c r="A10" s="254"/>
      <c r="B10" s="255"/>
      <c r="C10" s="256"/>
      <c r="D10" s="256"/>
      <c r="E10" s="257"/>
      <c r="F10" s="257"/>
      <c r="G10" s="257"/>
      <c r="H10" s="257"/>
      <c r="I10" s="257"/>
      <c r="J10" s="257"/>
    </row>
    <row r="11" spans="1:11" ht="27.75" customHeight="1" x14ac:dyDescent="0.2">
      <c r="A11" s="254"/>
      <c r="B11" s="255"/>
      <c r="C11" s="256"/>
      <c r="D11" s="256"/>
      <c r="E11" s="17" t="s">
        <v>9</v>
      </c>
      <c r="F11" s="17" t="s">
        <v>10</v>
      </c>
      <c r="G11" s="17" t="s">
        <v>97</v>
      </c>
      <c r="H11" s="17" t="s">
        <v>98</v>
      </c>
      <c r="I11" s="17" t="s">
        <v>99</v>
      </c>
      <c r="J11" s="17" t="s">
        <v>11</v>
      </c>
    </row>
    <row r="12" spans="1:11" ht="46.5" customHeight="1" x14ac:dyDescent="0.2">
      <c r="A12" s="254"/>
      <c r="B12" s="255" t="s">
        <v>167</v>
      </c>
      <c r="C12" s="253" t="s">
        <v>127</v>
      </c>
      <c r="D12" s="253"/>
      <c r="E12" s="127">
        <f t="shared" ref="E12:J12" si="0">E13+E14+E15</f>
        <v>7117.8265600000004</v>
      </c>
      <c r="F12" s="127">
        <f t="shared" si="0"/>
        <v>7632.9000000000005</v>
      </c>
      <c r="G12" s="127">
        <f t="shared" si="0"/>
        <v>7776.8</v>
      </c>
      <c r="H12" s="127">
        <f t="shared" si="0"/>
        <v>7787.6</v>
      </c>
      <c r="I12" s="127">
        <f t="shared" si="0"/>
        <v>7787.6</v>
      </c>
      <c r="J12" s="127">
        <f t="shared" si="0"/>
        <v>38102.726560000003</v>
      </c>
    </row>
    <row r="13" spans="1:11" ht="46.5" customHeight="1" x14ac:dyDescent="0.2">
      <c r="A13" s="254"/>
      <c r="B13" s="255"/>
      <c r="C13" s="253" t="s">
        <v>78</v>
      </c>
      <c r="D13" s="253"/>
      <c r="E13" s="127">
        <f>'Прил 7 Перечень мероприятий'!G134</f>
        <v>7117.8265600000004</v>
      </c>
      <c r="F13" s="127">
        <f>'Прил 7 Перечень мероприятий'!H134</f>
        <v>7632.9000000000005</v>
      </c>
      <c r="G13" s="127">
        <f>'Прил 7 Перечень мероприятий'!I134</f>
        <v>7776.8</v>
      </c>
      <c r="H13" s="127">
        <f>'Прил 7 Перечень мероприятий'!J134</f>
        <v>7787.6</v>
      </c>
      <c r="I13" s="127">
        <f>'Прил 7 Перечень мероприятий'!K134</f>
        <v>7787.6</v>
      </c>
      <c r="J13" s="127">
        <f>E13+F13+G13+H13+I13</f>
        <v>38102.726560000003</v>
      </c>
    </row>
    <row r="14" spans="1:11" ht="45" customHeight="1" x14ac:dyDescent="0.2">
      <c r="A14" s="254"/>
      <c r="B14" s="255"/>
      <c r="C14" s="253" t="s">
        <v>12</v>
      </c>
      <c r="D14" s="253"/>
      <c r="E14" s="127">
        <v>0</v>
      </c>
      <c r="F14" s="127">
        <v>0</v>
      </c>
      <c r="G14" s="127">
        <v>0</v>
      </c>
      <c r="H14" s="127">
        <v>0</v>
      </c>
      <c r="I14" s="127">
        <v>0</v>
      </c>
      <c r="J14" s="127">
        <v>0</v>
      </c>
    </row>
    <row r="15" spans="1:11" ht="48.75" customHeight="1" x14ac:dyDescent="0.2">
      <c r="A15" s="254"/>
      <c r="B15" s="255"/>
      <c r="C15" s="253" t="s">
        <v>55</v>
      </c>
      <c r="D15" s="253"/>
      <c r="E15" s="127">
        <v>0</v>
      </c>
      <c r="F15" s="127">
        <v>0</v>
      </c>
      <c r="G15" s="127">
        <v>0</v>
      </c>
      <c r="H15" s="127">
        <v>0</v>
      </c>
      <c r="I15" s="127">
        <v>0</v>
      </c>
      <c r="J15" s="127">
        <v>0</v>
      </c>
    </row>
    <row r="16" spans="1:11" x14ac:dyDescent="0.2">
      <c r="A16" s="18"/>
      <c r="B16" s="18"/>
      <c r="C16" s="18"/>
      <c r="D16" s="18"/>
      <c r="E16" s="18"/>
      <c r="F16" s="19"/>
      <c r="G16" s="19"/>
      <c r="H16" s="18"/>
      <c r="I16" s="18"/>
      <c r="J16" s="18"/>
    </row>
    <row r="17" spans="1:8" x14ac:dyDescent="0.2">
      <c r="A17" s="15"/>
      <c r="F17" s="131"/>
      <c r="G17" s="131"/>
      <c r="H17" s="131"/>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323"/>
  <sheetViews>
    <sheetView topLeftCell="A288" zoomScaleNormal="100" workbookViewId="0">
      <selection activeCell="D240" sqref="D240:D245"/>
    </sheetView>
  </sheetViews>
  <sheetFormatPr defaultRowHeight="18" x14ac:dyDescent="0.2"/>
  <cols>
    <col min="1" max="1" width="55.7109375" style="76" customWidth="1"/>
    <col min="2" max="2" width="12.28515625" style="5" customWidth="1"/>
    <col min="3" max="3" width="15.85546875" style="5" hidden="1" customWidth="1"/>
    <col min="4" max="4" width="100.85546875" style="5" customWidth="1"/>
    <col min="5" max="5" width="15.42578125" style="5" customWidth="1"/>
    <col min="6" max="6" width="15.42578125" style="73" customWidth="1"/>
    <col min="7" max="7" width="27.42578125" style="5" customWidth="1"/>
    <col min="8" max="8" width="9.140625" style="5"/>
    <col min="9" max="9" width="26.7109375" style="187" customWidth="1"/>
    <col min="10" max="13" width="9.140625" style="5"/>
    <col min="14" max="14" width="12.5703125" style="5" bestFit="1" customWidth="1"/>
    <col min="15" max="16384" width="9.140625" style="5"/>
  </cols>
  <sheetData>
    <row r="1" spans="1:9" ht="15" hidden="1" customHeight="1" x14ac:dyDescent="0.2">
      <c r="D1" s="280" t="s">
        <v>195</v>
      </c>
      <c r="E1" s="280"/>
      <c r="F1" s="280"/>
      <c r="G1" s="280"/>
    </row>
    <row r="2" spans="1:9" ht="15" hidden="1" customHeight="1" x14ac:dyDescent="0.2">
      <c r="D2" s="87"/>
      <c r="E2" s="280" t="s">
        <v>196</v>
      </c>
      <c r="F2" s="280"/>
      <c r="G2" s="280"/>
    </row>
    <row r="3" spans="1:9" ht="15" hidden="1" customHeight="1" x14ac:dyDescent="0.2">
      <c r="D3" s="280" t="s">
        <v>195</v>
      </c>
      <c r="E3" s="280"/>
      <c r="F3" s="280"/>
      <c r="G3" s="280"/>
    </row>
    <row r="4" spans="1:9" ht="15" hidden="1" customHeight="1" x14ac:dyDescent="0.2">
      <c r="D4" s="100"/>
      <c r="E4" s="280" t="s">
        <v>196</v>
      </c>
      <c r="F4" s="280"/>
      <c r="G4" s="280"/>
    </row>
    <row r="5" spans="1:9" ht="15" customHeight="1" x14ac:dyDescent="0.2">
      <c r="D5" s="100"/>
      <c r="E5" s="100"/>
      <c r="F5" s="190"/>
      <c r="G5" s="100" t="s">
        <v>18</v>
      </c>
    </row>
    <row r="6" spans="1:9" ht="39" customHeight="1" x14ac:dyDescent="0.2">
      <c r="D6" s="281" t="s">
        <v>288</v>
      </c>
      <c r="E6" s="281"/>
      <c r="F6" s="281"/>
      <c r="G6" s="281"/>
    </row>
    <row r="7" spans="1:9" ht="33.75" customHeight="1" x14ac:dyDescent="0.2">
      <c r="A7" s="332" t="s">
        <v>271</v>
      </c>
      <c r="B7" s="332"/>
      <c r="C7" s="332"/>
      <c r="D7" s="332"/>
      <c r="E7" s="332"/>
      <c r="F7" s="332"/>
      <c r="G7" s="332"/>
    </row>
    <row r="8" spans="1:9" ht="78.75" customHeight="1" x14ac:dyDescent="0.2">
      <c r="A8" s="85" t="s">
        <v>28</v>
      </c>
      <c r="B8" s="77"/>
      <c r="C8" s="228" t="s">
        <v>29</v>
      </c>
      <c r="D8" s="228"/>
      <c r="E8" s="247" t="s">
        <v>30</v>
      </c>
      <c r="F8" s="247"/>
      <c r="G8" s="88" t="s">
        <v>27</v>
      </c>
    </row>
    <row r="9" spans="1:9" x14ac:dyDescent="0.2">
      <c r="A9" s="77">
        <v>1</v>
      </c>
      <c r="B9" s="77">
        <v>2</v>
      </c>
      <c r="C9" s="228">
        <v>3</v>
      </c>
      <c r="D9" s="228"/>
      <c r="E9" s="228">
        <v>4</v>
      </c>
      <c r="F9" s="228"/>
      <c r="G9" s="7">
        <v>5</v>
      </c>
    </row>
    <row r="10" spans="1:9" ht="23.25" customHeight="1" x14ac:dyDescent="0.2">
      <c r="A10" s="298" t="s">
        <v>56</v>
      </c>
      <c r="B10" s="298"/>
      <c r="C10" s="298"/>
      <c r="D10" s="298"/>
      <c r="E10" s="298"/>
      <c r="F10" s="298"/>
      <c r="G10" s="298"/>
      <c r="I10" s="189">
        <f>F12+F18+F24+F30+F36+F42+F48+F54+F60+F66+F72+F78+F84++F90+F96+F108+F114+F120+F126+F132+F138</f>
        <v>355247.21853999997</v>
      </c>
    </row>
    <row r="11" spans="1:9" ht="51" customHeight="1" x14ac:dyDescent="0.2">
      <c r="A11" s="307" t="s">
        <v>164</v>
      </c>
      <c r="B11" s="308"/>
      <c r="C11" s="86"/>
      <c r="D11" s="86"/>
      <c r="E11" s="79"/>
      <c r="F11" s="191"/>
      <c r="G11" s="79"/>
      <c r="I11" s="187">
        <f>F102+F108+F114+F120+F126+F132+F138</f>
        <v>93697.574800000002</v>
      </c>
    </row>
    <row r="12" spans="1:9" ht="20.25" customHeight="1" x14ac:dyDescent="0.2">
      <c r="A12" s="297" t="s">
        <v>268</v>
      </c>
      <c r="B12" s="228" t="s">
        <v>166</v>
      </c>
      <c r="C12" s="255" t="s">
        <v>298</v>
      </c>
      <c r="D12" s="255"/>
      <c r="E12" s="12" t="s">
        <v>53</v>
      </c>
      <c r="F12" s="192">
        <f>SUM(F13:F17)</f>
        <v>12457.654269999999</v>
      </c>
      <c r="G12" s="241"/>
      <c r="I12" s="187">
        <f>I10+I11</f>
        <v>448944.79333999997</v>
      </c>
    </row>
    <row r="13" spans="1:9" ht="20.25" customHeight="1" x14ac:dyDescent="0.2">
      <c r="A13" s="297"/>
      <c r="B13" s="228"/>
      <c r="C13" s="255"/>
      <c r="D13" s="255"/>
      <c r="E13" s="7" t="s">
        <v>4</v>
      </c>
      <c r="F13" s="59">
        <f>'Прил 7 Перечень мероприятий'!G15</f>
        <v>2387.65427</v>
      </c>
      <c r="G13" s="241"/>
    </row>
    <row r="14" spans="1:9" ht="20.25" customHeight="1" x14ac:dyDescent="0.2">
      <c r="A14" s="297"/>
      <c r="B14" s="228"/>
      <c r="C14" s="255"/>
      <c r="D14" s="255"/>
      <c r="E14" s="7" t="s">
        <v>52</v>
      </c>
      <c r="F14" s="59">
        <f>'Прил 7 Перечень мероприятий'!H15</f>
        <v>1970</v>
      </c>
      <c r="G14" s="241"/>
    </row>
    <row r="15" spans="1:9" ht="20.25" customHeight="1" x14ac:dyDescent="0.2">
      <c r="A15" s="297"/>
      <c r="B15" s="228"/>
      <c r="C15" s="255"/>
      <c r="D15" s="255"/>
      <c r="E15" s="7" t="s">
        <v>100</v>
      </c>
      <c r="F15" s="59">
        <f>'Прил 7 Перечень мероприятий'!I15</f>
        <v>2700</v>
      </c>
      <c r="G15" s="241"/>
    </row>
    <row r="16" spans="1:9" ht="20.25" customHeight="1" x14ac:dyDescent="0.2">
      <c r="A16" s="297"/>
      <c r="B16" s="228"/>
      <c r="C16" s="255"/>
      <c r="D16" s="255"/>
      <c r="E16" s="7" t="s">
        <v>101</v>
      </c>
      <c r="F16" s="59">
        <f>'Прил 7 Перечень мероприятий'!J15</f>
        <v>2700</v>
      </c>
      <c r="G16" s="241"/>
    </row>
    <row r="17" spans="1:14" ht="20.25" customHeight="1" x14ac:dyDescent="0.2">
      <c r="A17" s="297"/>
      <c r="B17" s="228"/>
      <c r="C17" s="255"/>
      <c r="D17" s="255"/>
      <c r="E17" s="7" t="s">
        <v>102</v>
      </c>
      <c r="F17" s="59">
        <f>'Прил 7 Перечень мероприятий'!K15</f>
        <v>2700</v>
      </c>
      <c r="G17" s="241"/>
    </row>
    <row r="18" spans="1:14" ht="15.75" customHeight="1" x14ac:dyDescent="0.2">
      <c r="A18" s="295" t="s">
        <v>163</v>
      </c>
      <c r="B18" s="228" t="s">
        <v>166</v>
      </c>
      <c r="C18" s="306" t="s">
        <v>365</v>
      </c>
      <c r="D18" s="306"/>
      <c r="E18" s="75" t="s">
        <v>53</v>
      </c>
      <c r="F18" s="193">
        <f>SUM(F19:F23)</f>
        <v>1436.6990000000001</v>
      </c>
      <c r="G18" s="241"/>
    </row>
    <row r="19" spans="1:14" ht="15.75" customHeight="1" x14ac:dyDescent="0.2">
      <c r="A19" s="296"/>
      <c r="B19" s="228"/>
      <c r="C19" s="306"/>
      <c r="D19" s="306"/>
      <c r="E19" s="74" t="s">
        <v>4</v>
      </c>
      <c r="F19" s="59">
        <f>'Прил 7 Перечень мероприятий'!G17</f>
        <v>286.69900000000001</v>
      </c>
      <c r="G19" s="241"/>
    </row>
    <row r="20" spans="1:14" ht="15.75" customHeight="1" x14ac:dyDescent="0.2">
      <c r="A20" s="296"/>
      <c r="B20" s="228"/>
      <c r="C20" s="306"/>
      <c r="D20" s="306"/>
      <c r="E20" s="74" t="s">
        <v>52</v>
      </c>
      <c r="F20" s="59">
        <f>'Прил 7 Перечень мероприятий'!H17</f>
        <v>100</v>
      </c>
      <c r="G20" s="241"/>
    </row>
    <row r="21" spans="1:14" ht="15.75" customHeight="1" x14ac:dyDescent="0.2">
      <c r="A21" s="296"/>
      <c r="B21" s="228"/>
      <c r="C21" s="306"/>
      <c r="D21" s="306"/>
      <c r="E21" s="74" t="s">
        <v>100</v>
      </c>
      <c r="F21" s="59">
        <f>'Прил 7 Перечень мероприятий'!I17</f>
        <v>350</v>
      </c>
      <c r="G21" s="241"/>
    </row>
    <row r="22" spans="1:14" ht="15.75" customHeight="1" x14ac:dyDescent="0.2">
      <c r="A22" s="296"/>
      <c r="B22" s="228"/>
      <c r="C22" s="306"/>
      <c r="D22" s="306"/>
      <c r="E22" s="74" t="s">
        <v>101</v>
      </c>
      <c r="F22" s="59">
        <f>'Прил 7 Перечень мероприятий'!J17</f>
        <v>350</v>
      </c>
      <c r="G22" s="241"/>
    </row>
    <row r="23" spans="1:14" ht="15.75" customHeight="1" x14ac:dyDescent="0.2">
      <c r="A23" s="296"/>
      <c r="B23" s="228"/>
      <c r="C23" s="306"/>
      <c r="D23" s="306"/>
      <c r="E23" s="74" t="s">
        <v>102</v>
      </c>
      <c r="F23" s="59">
        <f>'Прил 7 Перечень мероприятий'!K17</f>
        <v>350</v>
      </c>
      <c r="G23" s="241"/>
    </row>
    <row r="24" spans="1:14" ht="11.25" customHeight="1" x14ac:dyDescent="0.2">
      <c r="A24" s="296" t="s">
        <v>223</v>
      </c>
      <c r="B24" s="228" t="s">
        <v>166</v>
      </c>
      <c r="C24" s="306" t="s">
        <v>364</v>
      </c>
      <c r="D24" s="306"/>
      <c r="E24" s="78" t="s">
        <v>53</v>
      </c>
      <c r="F24" s="193">
        <f>SUM(F25:F29)</f>
        <v>236594.71000000002</v>
      </c>
      <c r="G24" s="241"/>
    </row>
    <row r="25" spans="1:14" ht="11.25" customHeight="1" x14ac:dyDescent="0.2">
      <c r="A25" s="296"/>
      <c r="B25" s="228"/>
      <c r="C25" s="306"/>
      <c r="D25" s="306"/>
      <c r="E25" s="77" t="s">
        <v>4</v>
      </c>
      <c r="F25" s="59">
        <f>'Прил 7 Перечень мероприятий'!G19</f>
        <v>51118.31</v>
      </c>
      <c r="G25" s="241"/>
    </row>
    <row r="26" spans="1:14" ht="11.25" customHeight="1" x14ac:dyDescent="0.2">
      <c r="A26" s="296"/>
      <c r="B26" s="228"/>
      <c r="C26" s="306"/>
      <c r="D26" s="306"/>
      <c r="E26" s="77" t="s">
        <v>52</v>
      </c>
      <c r="F26" s="59">
        <f>'Прил 7 Перечень мероприятий'!H19</f>
        <v>46369.1</v>
      </c>
      <c r="G26" s="241"/>
    </row>
    <row r="27" spans="1:14" ht="11.25" customHeight="1" x14ac:dyDescent="0.2">
      <c r="A27" s="296"/>
      <c r="B27" s="228"/>
      <c r="C27" s="306"/>
      <c r="D27" s="306"/>
      <c r="E27" s="77" t="s">
        <v>100</v>
      </c>
      <c r="F27" s="59">
        <f>'Прил 7 Перечень мероприятий'!I19</f>
        <v>46369.1</v>
      </c>
      <c r="G27" s="241"/>
      <c r="N27" s="20">
        <f>F25*30.2%</f>
        <v>15437.729619999998</v>
      </c>
    </row>
    <row r="28" spans="1:14" ht="11.25" customHeight="1" x14ac:dyDescent="0.2">
      <c r="A28" s="296"/>
      <c r="B28" s="228"/>
      <c r="C28" s="306"/>
      <c r="D28" s="306"/>
      <c r="E28" s="77" t="s">
        <v>101</v>
      </c>
      <c r="F28" s="59">
        <f>'Прил 7 Перечень мероприятий'!J19</f>
        <v>46369.1</v>
      </c>
      <c r="G28" s="241"/>
      <c r="N28" s="20">
        <f>F26-N27</f>
        <v>30931.37038</v>
      </c>
    </row>
    <row r="29" spans="1:14" ht="11.25" customHeight="1" x14ac:dyDescent="0.2">
      <c r="A29" s="296"/>
      <c r="B29" s="228"/>
      <c r="C29" s="306"/>
      <c r="D29" s="306"/>
      <c r="E29" s="77" t="s">
        <v>102</v>
      </c>
      <c r="F29" s="59">
        <f>'Прил 7 Перечень мероприятий'!K19</f>
        <v>46369.1</v>
      </c>
      <c r="G29" s="241"/>
    </row>
    <row r="30" spans="1:14" ht="9.75" customHeight="1" x14ac:dyDescent="0.2">
      <c r="A30" s="286" t="s">
        <v>246</v>
      </c>
      <c r="B30" s="228" t="s">
        <v>166</v>
      </c>
      <c r="C30" s="302" t="s">
        <v>194</v>
      </c>
      <c r="D30" s="303"/>
      <c r="E30" s="78" t="s">
        <v>53</v>
      </c>
      <c r="F30" s="193">
        <f>SUM(F31:F35)</f>
        <v>14785.4</v>
      </c>
      <c r="G30" s="241"/>
    </row>
    <row r="31" spans="1:14" ht="9.75" customHeight="1" x14ac:dyDescent="0.2">
      <c r="A31" s="279"/>
      <c r="B31" s="228"/>
      <c r="C31" s="304"/>
      <c r="D31" s="305"/>
      <c r="E31" s="77" t="s">
        <v>4</v>
      </c>
      <c r="F31" s="59">
        <f>'Прил 7 Перечень мероприятий'!G21</f>
        <v>2820</v>
      </c>
      <c r="G31" s="241"/>
    </row>
    <row r="32" spans="1:14" ht="9.75" customHeight="1" x14ac:dyDescent="0.2">
      <c r="A32" s="279"/>
      <c r="B32" s="228"/>
      <c r="C32" s="304"/>
      <c r="D32" s="305"/>
      <c r="E32" s="77" t="s">
        <v>52</v>
      </c>
      <c r="F32" s="59">
        <f>'Прил 7 Перечень мероприятий'!H21</f>
        <v>2932.7</v>
      </c>
      <c r="G32" s="241"/>
    </row>
    <row r="33" spans="1:7" ht="9.75" customHeight="1" x14ac:dyDescent="0.2">
      <c r="A33" s="279"/>
      <c r="B33" s="228"/>
      <c r="C33" s="304"/>
      <c r="D33" s="305"/>
      <c r="E33" s="77" t="s">
        <v>100</v>
      </c>
      <c r="F33" s="59">
        <f>'Прил 7 Перечень мероприятий'!I21</f>
        <v>2932.7</v>
      </c>
      <c r="G33" s="241"/>
    </row>
    <row r="34" spans="1:7" ht="9.75" customHeight="1" x14ac:dyDescent="0.2">
      <c r="A34" s="279"/>
      <c r="B34" s="228"/>
      <c r="C34" s="304"/>
      <c r="D34" s="305"/>
      <c r="E34" s="77" t="s">
        <v>101</v>
      </c>
      <c r="F34" s="59">
        <f>'Прил 7 Перечень мероприятий'!J21</f>
        <v>3050</v>
      </c>
      <c r="G34" s="241"/>
    </row>
    <row r="35" spans="1:7" ht="15" customHeight="1" x14ac:dyDescent="0.2">
      <c r="A35" s="279"/>
      <c r="B35" s="228"/>
      <c r="C35" s="304"/>
      <c r="D35" s="305"/>
      <c r="E35" s="77" t="s">
        <v>102</v>
      </c>
      <c r="F35" s="59">
        <f>'Прил 7 Перечень мероприятий'!K21</f>
        <v>3050</v>
      </c>
      <c r="G35" s="241"/>
    </row>
    <row r="36" spans="1:7" ht="10.5" customHeight="1" x14ac:dyDescent="0.2">
      <c r="A36" s="278" t="s">
        <v>247</v>
      </c>
      <c r="B36" s="228" t="s">
        <v>166</v>
      </c>
      <c r="C36" s="315" t="s">
        <v>217</v>
      </c>
      <c r="D36" s="329"/>
      <c r="E36" s="78" t="s">
        <v>53</v>
      </c>
      <c r="F36" s="193">
        <f>SUM(F37:F41)</f>
        <v>5360.4</v>
      </c>
      <c r="G36" s="241"/>
    </row>
    <row r="37" spans="1:7" ht="10.5" customHeight="1" x14ac:dyDescent="0.2">
      <c r="A37" s="279"/>
      <c r="B37" s="228"/>
      <c r="C37" s="330"/>
      <c r="D37" s="331"/>
      <c r="E37" s="77" t="s">
        <v>4</v>
      </c>
      <c r="F37" s="59">
        <f>'Прил 7 Перечень мероприятий'!G23</f>
        <v>1165.0999999999999</v>
      </c>
      <c r="G37" s="241"/>
    </row>
    <row r="38" spans="1:7" ht="10.5" customHeight="1" x14ac:dyDescent="0.2">
      <c r="A38" s="279"/>
      <c r="B38" s="228"/>
      <c r="C38" s="330"/>
      <c r="D38" s="331"/>
      <c r="E38" s="77" t="s">
        <v>52</v>
      </c>
      <c r="F38" s="59">
        <f>'Прил 7 Перечень мероприятий'!H23</f>
        <v>700</v>
      </c>
      <c r="G38" s="241"/>
    </row>
    <row r="39" spans="1:7" ht="10.5" customHeight="1" x14ac:dyDescent="0.2">
      <c r="A39" s="279"/>
      <c r="B39" s="228"/>
      <c r="C39" s="330"/>
      <c r="D39" s="331"/>
      <c r="E39" s="77" t="s">
        <v>100</v>
      </c>
      <c r="F39" s="59">
        <f>'Прил 7 Перечень мероприятий'!I23</f>
        <v>1165.0999999999999</v>
      </c>
      <c r="G39" s="241"/>
    </row>
    <row r="40" spans="1:7" ht="10.5" customHeight="1" x14ac:dyDescent="0.2">
      <c r="A40" s="279"/>
      <c r="B40" s="228"/>
      <c r="C40" s="330"/>
      <c r="D40" s="331"/>
      <c r="E40" s="77" t="s">
        <v>101</v>
      </c>
      <c r="F40" s="59">
        <f>'Прил 7 Перечень мероприятий'!J23</f>
        <v>1165.0999999999999</v>
      </c>
      <c r="G40" s="241"/>
    </row>
    <row r="41" spans="1:7" ht="10.5" customHeight="1" x14ac:dyDescent="0.2">
      <c r="A41" s="279"/>
      <c r="B41" s="228"/>
      <c r="C41" s="330"/>
      <c r="D41" s="331"/>
      <c r="E41" s="77" t="s">
        <v>102</v>
      </c>
      <c r="F41" s="59">
        <f>'Прил 7 Перечень мероприятий'!K23</f>
        <v>1165.0999999999999</v>
      </c>
      <c r="G41" s="241"/>
    </row>
    <row r="42" spans="1:7" ht="21" customHeight="1" x14ac:dyDescent="0.2">
      <c r="A42" s="278" t="s">
        <v>248</v>
      </c>
      <c r="B42" s="228" t="s">
        <v>166</v>
      </c>
      <c r="C42" s="315" t="s">
        <v>385</v>
      </c>
      <c r="D42" s="316"/>
      <c r="E42" s="81" t="s">
        <v>53</v>
      </c>
      <c r="F42" s="193">
        <f>SUM(F43:F47)</f>
        <v>19289.599999999999</v>
      </c>
      <c r="G42" s="241"/>
    </row>
    <row r="43" spans="1:7" ht="21" customHeight="1" x14ac:dyDescent="0.2">
      <c r="A43" s="279"/>
      <c r="B43" s="228"/>
      <c r="C43" s="317"/>
      <c r="D43" s="318"/>
      <c r="E43" s="80" t="s">
        <v>4</v>
      </c>
      <c r="F43" s="59">
        <f>'Прил 7 Перечень мероприятий'!G25</f>
        <v>1958.2</v>
      </c>
      <c r="G43" s="241"/>
    </row>
    <row r="44" spans="1:7" ht="21" customHeight="1" x14ac:dyDescent="0.2">
      <c r="A44" s="279"/>
      <c r="B44" s="228"/>
      <c r="C44" s="317"/>
      <c r="D44" s="318"/>
      <c r="E44" s="80" t="s">
        <v>52</v>
      </c>
      <c r="F44" s="59">
        <f>'Прил 7 Перечень мероприятий'!H25</f>
        <v>3167.2</v>
      </c>
      <c r="G44" s="241"/>
    </row>
    <row r="45" spans="1:7" ht="21" customHeight="1" x14ac:dyDescent="0.2">
      <c r="A45" s="279"/>
      <c r="B45" s="228"/>
      <c r="C45" s="317"/>
      <c r="D45" s="318"/>
      <c r="E45" s="80" t="s">
        <v>100</v>
      </c>
      <c r="F45" s="59">
        <f>'Прил 7 Перечень мероприятий'!I25</f>
        <v>4721.3999999999996</v>
      </c>
      <c r="G45" s="241"/>
    </row>
    <row r="46" spans="1:7" ht="21" customHeight="1" x14ac:dyDescent="0.2">
      <c r="A46" s="279"/>
      <c r="B46" s="228"/>
      <c r="C46" s="317"/>
      <c r="D46" s="318"/>
      <c r="E46" s="80" t="s">
        <v>101</v>
      </c>
      <c r="F46" s="59">
        <f>'Прил 7 Перечень мероприятий'!J25</f>
        <v>4721.3999999999996</v>
      </c>
      <c r="G46" s="241"/>
    </row>
    <row r="47" spans="1:7" ht="39.75" customHeight="1" x14ac:dyDescent="0.2">
      <c r="A47" s="279"/>
      <c r="B47" s="228"/>
      <c r="C47" s="317"/>
      <c r="D47" s="318"/>
      <c r="E47" s="80" t="s">
        <v>102</v>
      </c>
      <c r="F47" s="59">
        <f>'Прил 7 Перечень мероприятий'!K25</f>
        <v>4721.3999999999996</v>
      </c>
      <c r="G47" s="241"/>
    </row>
    <row r="48" spans="1:7" ht="24.75" customHeight="1" x14ac:dyDescent="0.2">
      <c r="A48" s="278" t="s">
        <v>249</v>
      </c>
      <c r="B48" s="228" t="s">
        <v>166</v>
      </c>
      <c r="C48" s="315" t="s">
        <v>386</v>
      </c>
      <c r="D48" s="316"/>
      <c r="E48" s="81" t="s">
        <v>53</v>
      </c>
      <c r="F48" s="193">
        <f>SUM(F49:F53)</f>
        <v>8527.10527</v>
      </c>
      <c r="G48" s="241"/>
    </row>
    <row r="49" spans="1:7" ht="24.75" customHeight="1" x14ac:dyDescent="0.2">
      <c r="A49" s="279"/>
      <c r="B49" s="228"/>
      <c r="C49" s="317"/>
      <c r="D49" s="318"/>
      <c r="E49" s="80" t="s">
        <v>4</v>
      </c>
      <c r="F49" s="59">
        <f>'Прил 7 Перечень мероприятий'!G27</f>
        <v>879.96755000000007</v>
      </c>
      <c r="G49" s="241"/>
    </row>
    <row r="50" spans="1:7" ht="24.75" customHeight="1" x14ac:dyDescent="0.2">
      <c r="A50" s="279"/>
      <c r="B50" s="228"/>
      <c r="C50" s="317"/>
      <c r="D50" s="318"/>
      <c r="E50" s="80" t="s">
        <v>52</v>
      </c>
      <c r="F50" s="59">
        <f>'Прил 7 Перечень мероприятий'!H27</f>
        <v>1347.1377199999999</v>
      </c>
      <c r="G50" s="241"/>
    </row>
    <row r="51" spans="1:7" ht="24.75" customHeight="1" x14ac:dyDescent="0.2">
      <c r="A51" s="279"/>
      <c r="B51" s="228"/>
      <c r="C51" s="317"/>
      <c r="D51" s="318"/>
      <c r="E51" s="80" t="s">
        <v>100</v>
      </c>
      <c r="F51" s="59">
        <f>'Прил 7 Перечень мероприятий'!I27</f>
        <v>2100</v>
      </c>
      <c r="G51" s="241"/>
    </row>
    <row r="52" spans="1:7" ht="35.25" customHeight="1" x14ac:dyDescent="0.2">
      <c r="A52" s="279"/>
      <c r="B52" s="228"/>
      <c r="C52" s="317"/>
      <c r="D52" s="318"/>
      <c r="E52" s="80" t="s">
        <v>101</v>
      </c>
      <c r="F52" s="59">
        <f>'Прил 7 Перечень мероприятий'!J27</f>
        <v>2100</v>
      </c>
      <c r="G52" s="241"/>
    </row>
    <row r="53" spans="1:7" ht="48.75" customHeight="1" x14ac:dyDescent="0.2">
      <c r="A53" s="279"/>
      <c r="B53" s="228"/>
      <c r="C53" s="317"/>
      <c r="D53" s="318"/>
      <c r="E53" s="80" t="s">
        <v>102</v>
      </c>
      <c r="F53" s="59">
        <f>'Прил 7 Перечень мероприятий'!K27</f>
        <v>2100</v>
      </c>
      <c r="G53" s="241"/>
    </row>
    <row r="54" spans="1:7" ht="16.5" customHeight="1" x14ac:dyDescent="0.2">
      <c r="A54" s="278" t="s">
        <v>250</v>
      </c>
      <c r="B54" s="228" t="s">
        <v>166</v>
      </c>
      <c r="C54" s="302" t="s">
        <v>347</v>
      </c>
      <c r="D54" s="303"/>
      <c r="E54" s="81" t="s">
        <v>53</v>
      </c>
      <c r="F54" s="193">
        <f>SUM(F55:F59)</f>
        <v>6906.1</v>
      </c>
      <c r="G54" s="241"/>
    </row>
    <row r="55" spans="1:7" ht="16.5" customHeight="1" x14ac:dyDescent="0.2">
      <c r="A55" s="279"/>
      <c r="B55" s="228"/>
      <c r="C55" s="304"/>
      <c r="D55" s="305"/>
      <c r="E55" s="80" t="s">
        <v>4</v>
      </c>
      <c r="F55" s="59">
        <f>'Прил 7 Перечень мероприятий'!G29</f>
        <v>846.1</v>
      </c>
      <c r="G55" s="241"/>
    </row>
    <row r="56" spans="1:7" ht="16.5" customHeight="1" x14ac:dyDescent="0.2">
      <c r="A56" s="279"/>
      <c r="B56" s="228"/>
      <c r="C56" s="304"/>
      <c r="D56" s="305"/>
      <c r="E56" s="80" t="s">
        <v>52</v>
      </c>
      <c r="F56" s="59">
        <f>'Прил 7 Перечень мероприятий'!H29</f>
        <v>0</v>
      </c>
      <c r="G56" s="241"/>
    </row>
    <row r="57" spans="1:7" ht="16.5" customHeight="1" x14ac:dyDescent="0.2">
      <c r="A57" s="279"/>
      <c r="B57" s="228"/>
      <c r="C57" s="304"/>
      <c r="D57" s="305"/>
      <c r="E57" s="80" t="s">
        <v>100</v>
      </c>
      <c r="F57" s="59">
        <f>'Прил 7 Перечень мероприятий'!I29</f>
        <v>2020</v>
      </c>
      <c r="G57" s="241"/>
    </row>
    <row r="58" spans="1:7" ht="16.5" customHeight="1" x14ac:dyDescent="0.2">
      <c r="A58" s="279"/>
      <c r="B58" s="228"/>
      <c r="C58" s="304"/>
      <c r="D58" s="305"/>
      <c r="E58" s="80" t="s">
        <v>101</v>
      </c>
      <c r="F58" s="59">
        <f>'Прил 7 Перечень мероприятий'!J29</f>
        <v>2020</v>
      </c>
      <c r="G58" s="241"/>
    </row>
    <row r="59" spans="1:7" ht="47.25" customHeight="1" x14ac:dyDescent="0.2">
      <c r="A59" s="279"/>
      <c r="B59" s="228"/>
      <c r="C59" s="304"/>
      <c r="D59" s="305"/>
      <c r="E59" s="80" t="s">
        <v>102</v>
      </c>
      <c r="F59" s="59">
        <f>'Прил 7 Перечень мероприятий'!K29</f>
        <v>2020</v>
      </c>
      <c r="G59" s="241"/>
    </row>
    <row r="60" spans="1:7" ht="12" customHeight="1" x14ac:dyDescent="0.2">
      <c r="A60" s="278" t="s">
        <v>251</v>
      </c>
      <c r="B60" s="228" t="s">
        <v>166</v>
      </c>
      <c r="C60" s="315" t="s">
        <v>273</v>
      </c>
      <c r="D60" s="316"/>
      <c r="E60" s="78" t="s">
        <v>53</v>
      </c>
      <c r="F60" s="193">
        <f>SUM(F61:F65)</f>
        <v>190</v>
      </c>
      <c r="G60" s="241"/>
    </row>
    <row r="61" spans="1:7" ht="12" customHeight="1" x14ac:dyDescent="0.2">
      <c r="A61" s="279"/>
      <c r="B61" s="228"/>
      <c r="C61" s="317"/>
      <c r="D61" s="318"/>
      <c r="E61" s="77" t="s">
        <v>4</v>
      </c>
      <c r="F61" s="59">
        <f>'Прил 7 Перечень мероприятий'!G31</f>
        <v>0</v>
      </c>
      <c r="G61" s="241"/>
    </row>
    <row r="62" spans="1:7" ht="12" customHeight="1" x14ac:dyDescent="0.2">
      <c r="A62" s="279"/>
      <c r="B62" s="228"/>
      <c r="C62" s="317"/>
      <c r="D62" s="318"/>
      <c r="E62" s="77" t="s">
        <v>52</v>
      </c>
      <c r="F62" s="59">
        <f>'Прил 7 Перечень мероприятий'!H31</f>
        <v>40</v>
      </c>
      <c r="G62" s="241"/>
    </row>
    <row r="63" spans="1:7" ht="12" customHeight="1" x14ac:dyDescent="0.2">
      <c r="A63" s="279"/>
      <c r="B63" s="228"/>
      <c r="C63" s="317"/>
      <c r="D63" s="318"/>
      <c r="E63" s="77" t="s">
        <v>100</v>
      </c>
      <c r="F63" s="59">
        <f>'Прил 7 Перечень мероприятий'!I31</f>
        <v>50</v>
      </c>
      <c r="G63" s="241"/>
    </row>
    <row r="64" spans="1:7" ht="12" customHeight="1" x14ac:dyDescent="0.2">
      <c r="A64" s="279"/>
      <c r="B64" s="228"/>
      <c r="C64" s="317"/>
      <c r="D64" s="318"/>
      <c r="E64" s="77" t="s">
        <v>101</v>
      </c>
      <c r="F64" s="59">
        <f>'Прил 7 Перечень мероприятий'!J31</f>
        <v>50</v>
      </c>
      <c r="G64" s="241"/>
    </row>
    <row r="65" spans="1:9" ht="12" customHeight="1" x14ac:dyDescent="0.2">
      <c r="A65" s="279"/>
      <c r="B65" s="228"/>
      <c r="C65" s="317"/>
      <c r="D65" s="318"/>
      <c r="E65" s="77" t="s">
        <v>102</v>
      </c>
      <c r="F65" s="59">
        <f>'Прил 7 Перечень мероприятий'!K31</f>
        <v>50</v>
      </c>
      <c r="G65" s="241"/>
    </row>
    <row r="66" spans="1:9" ht="9.75" customHeight="1" x14ac:dyDescent="0.2">
      <c r="A66" s="278" t="s">
        <v>252</v>
      </c>
      <c r="B66" s="228" t="s">
        <v>166</v>
      </c>
      <c r="C66" s="315" t="s">
        <v>306</v>
      </c>
      <c r="D66" s="316"/>
      <c r="E66" s="78" t="s">
        <v>53</v>
      </c>
      <c r="F66" s="193">
        <f>SUM(F67:F71)</f>
        <v>1136.568</v>
      </c>
      <c r="G66" s="241"/>
    </row>
    <row r="67" spans="1:9" ht="9.75" customHeight="1" x14ac:dyDescent="0.2">
      <c r="A67" s="279"/>
      <c r="B67" s="228"/>
      <c r="C67" s="317"/>
      <c r="D67" s="318"/>
      <c r="E67" s="77" t="s">
        <v>4</v>
      </c>
      <c r="F67" s="59">
        <f>'Прил 7 Перечень мероприятий'!G33</f>
        <v>56.567999999999998</v>
      </c>
      <c r="G67" s="241"/>
    </row>
    <row r="68" spans="1:9" ht="9.75" customHeight="1" x14ac:dyDescent="0.2">
      <c r="A68" s="279"/>
      <c r="B68" s="228"/>
      <c r="C68" s="317"/>
      <c r="D68" s="318"/>
      <c r="E68" s="77" t="s">
        <v>52</v>
      </c>
      <c r="F68" s="59">
        <f>'Прил 7 Перечень мероприятий'!H33</f>
        <v>0</v>
      </c>
      <c r="G68" s="241"/>
    </row>
    <row r="69" spans="1:9" ht="9.75" customHeight="1" x14ac:dyDescent="0.2">
      <c r="A69" s="279"/>
      <c r="B69" s="228"/>
      <c r="C69" s="317"/>
      <c r="D69" s="318"/>
      <c r="E69" s="77" t="s">
        <v>100</v>
      </c>
      <c r="F69" s="59">
        <f>'Прил 7 Перечень мероприятий'!I33</f>
        <v>360</v>
      </c>
      <c r="G69" s="241"/>
    </row>
    <row r="70" spans="1:9" ht="9.75" customHeight="1" x14ac:dyDescent="0.2">
      <c r="A70" s="279"/>
      <c r="B70" s="228"/>
      <c r="C70" s="317"/>
      <c r="D70" s="318"/>
      <c r="E70" s="77" t="s">
        <v>101</v>
      </c>
      <c r="F70" s="59">
        <f>'Прил 7 Перечень мероприятий'!J33</f>
        <v>360</v>
      </c>
      <c r="G70" s="241"/>
    </row>
    <row r="71" spans="1:9" ht="9.75" customHeight="1" x14ac:dyDescent="0.2">
      <c r="A71" s="279"/>
      <c r="B71" s="228"/>
      <c r="C71" s="317"/>
      <c r="D71" s="318"/>
      <c r="E71" s="77" t="s">
        <v>102</v>
      </c>
      <c r="F71" s="59">
        <f>'Прил 7 Перечень мероприятий'!K33</f>
        <v>360</v>
      </c>
      <c r="G71" s="241"/>
    </row>
    <row r="72" spans="1:9" ht="12.75" customHeight="1" x14ac:dyDescent="0.2">
      <c r="A72" s="278" t="s">
        <v>253</v>
      </c>
      <c r="B72" s="228" t="s">
        <v>166</v>
      </c>
      <c r="C72" s="302" t="s">
        <v>299</v>
      </c>
      <c r="D72" s="303"/>
      <c r="E72" s="78" t="s">
        <v>53</v>
      </c>
      <c r="F72" s="193">
        <f>SUM(F73:F77)</f>
        <v>1475</v>
      </c>
      <c r="G72" s="241"/>
    </row>
    <row r="73" spans="1:9" ht="12.75" customHeight="1" x14ac:dyDescent="0.2">
      <c r="A73" s="279"/>
      <c r="B73" s="228"/>
      <c r="C73" s="304"/>
      <c r="D73" s="305"/>
      <c r="E73" s="77" t="s">
        <v>4</v>
      </c>
      <c r="F73" s="59">
        <f>'Прил 7 Перечень мероприятий'!G35</f>
        <v>200</v>
      </c>
      <c r="G73" s="241"/>
    </row>
    <row r="74" spans="1:9" ht="12.75" customHeight="1" x14ac:dyDescent="0.2">
      <c r="A74" s="279"/>
      <c r="B74" s="228"/>
      <c r="C74" s="304"/>
      <c r="D74" s="305"/>
      <c r="E74" s="77" t="s">
        <v>52</v>
      </c>
      <c r="F74" s="59">
        <f>'Прил 7 Перечень мероприятий'!H35</f>
        <v>0</v>
      </c>
      <c r="G74" s="241"/>
    </row>
    <row r="75" spans="1:9" ht="12.75" customHeight="1" x14ac:dyDescent="0.2">
      <c r="A75" s="279"/>
      <c r="B75" s="228"/>
      <c r="C75" s="304"/>
      <c r="D75" s="305"/>
      <c r="E75" s="77" t="s">
        <v>100</v>
      </c>
      <c r="F75" s="59">
        <f>'Прил 7 Перечень мероприятий'!I35</f>
        <v>425</v>
      </c>
      <c r="G75" s="241"/>
    </row>
    <row r="76" spans="1:9" ht="12.75" customHeight="1" x14ac:dyDescent="0.2">
      <c r="A76" s="279"/>
      <c r="B76" s="228"/>
      <c r="C76" s="304"/>
      <c r="D76" s="305"/>
      <c r="E76" s="77" t="s">
        <v>101</v>
      </c>
      <c r="F76" s="59">
        <f>'Прил 7 Перечень мероприятий'!J35</f>
        <v>425</v>
      </c>
      <c r="G76" s="241"/>
    </row>
    <row r="77" spans="1:9" ht="12.75" customHeight="1" x14ac:dyDescent="0.2">
      <c r="A77" s="279"/>
      <c r="B77" s="229"/>
      <c r="C77" s="304"/>
      <c r="D77" s="305"/>
      <c r="E77" s="89" t="s">
        <v>102</v>
      </c>
      <c r="F77" s="194">
        <f>'Прил 7 Перечень мероприятий'!K35</f>
        <v>425</v>
      </c>
      <c r="G77" s="301"/>
    </row>
    <row r="78" spans="1:9" s="92" customFormat="1" ht="10.5" customHeight="1" x14ac:dyDescent="0.2">
      <c r="A78" s="258" t="s">
        <v>215</v>
      </c>
      <c r="B78" s="260" t="s">
        <v>166</v>
      </c>
      <c r="C78" s="107"/>
      <c r="D78" s="262" t="s">
        <v>387</v>
      </c>
      <c r="E78" s="109" t="s">
        <v>53</v>
      </c>
      <c r="F78" s="191">
        <f>SUM(F79:F83)</f>
        <v>1394.8233</v>
      </c>
      <c r="G78" s="261"/>
      <c r="I78" s="188"/>
    </row>
    <row r="79" spans="1:9" s="92" customFormat="1" ht="10.5" customHeight="1" x14ac:dyDescent="0.2">
      <c r="A79" s="259"/>
      <c r="B79" s="260"/>
      <c r="C79" s="107"/>
      <c r="D79" s="263"/>
      <c r="E79" s="108" t="s">
        <v>4</v>
      </c>
      <c r="F79" s="195">
        <f>'Прил 7 Перечень мероприятий'!G37</f>
        <v>194.82329999999999</v>
      </c>
      <c r="G79" s="264"/>
      <c r="I79" s="188"/>
    </row>
    <row r="80" spans="1:9" s="92" customFormat="1" ht="10.5" customHeight="1" x14ac:dyDescent="0.2">
      <c r="A80" s="259"/>
      <c r="B80" s="260"/>
      <c r="C80" s="107"/>
      <c r="D80" s="263"/>
      <c r="E80" s="108" t="s">
        <v>52</v>
      </c>
      <c r="F80" s="195">
        <f>'Прил 7 Перечень мероприятий'!H37</f>
        <v>300</v>
      </c>
      <c r="G80" s="264"/>
      <c r="I80" s="188"/>
    </row>
    <row r="81" spans="1:9" s="92" customFormat="1" ht="10.5" customHeight="1" x14ac:dyDescent="0.2">
      <c r="A81" s="259"/>
      <c r="B81" s="260"/>
      <c r="C81" s="107"/>
      <c r="D81" s="263"/>
      <c r="E81" s="108" t="s">
        <v>100</v>
      </c>
      <c r="F81" s="195">
        <f>'Прил 7 Перечень мероприятий'!I37</f>
        <v>300</v>
      </c>
      <c r="G81" s="264"/>
      <c r="I81" s="188"/>
    </row>
    <row r="82" spans="1:9" s="92" customFormat="1" ht="10.5" customHeight="1" x14ac:dyDescent="0.2">
      <c r="A82" s="259"/>
      <c r="B82" s="260"/>
      <c r="C82" s="107"/>
      <c r="D82" s="263"/>
      <c r="E82" s="108" t="s">
        <v>101</v>
      </c>
      <c r="F82" s="195">
        <f>'Прил 7 Перечень мероприятий'!J37</f>
        <v>300</v>
      </c>
      <c r="G82" s="264"/>
      <c r="I82" s="188"/>
    </row>
    <row r="83" spans="1:9" s="92" customFormat="1" ht="19.5" customHeight="1" x14ac:dyDescent="0.2">
      <c r="A83" s="259"/>
      <c r="B83" s="261"/>
      <c r="C83" s="107"/>
      <c r="D83" s="263"/>
      <c r="E83" s="106" t="s">
        <v>102</v>
      </c>
      <c r="F83" s="195">
        <f>'Прил 7 Перечень мероприятий'!K37</f>
        <v>300</v>
      </c>
      <c r="G83" s="265"/>
      <c r="I83" s="188"/>
    </row>
    <row r="84" spans="1:9" s="92" customFormat="1" ht="30" customHeight="1" x14ac:dyDescent="0.2">
      <c r="A84" s="258" t="s">
        <v>278</v>
      </c>
      <c r="B84" s="260" t="s">
        <v>166</v>
      </c>
      <c r="C84" s="107"/>
      <c r="D84" s="311" t="s">
        <v>283</v>
      </c>
      <c r="E84" s="109" t="s">
        <v>53</v>
      </c>
      <c r="F84" s="191">
        <f>SUM(F85:F89)</f>
        <v>897.5</v>
      </c>
      <c r="G84" s="261"/>
      <c r="I84" s="188"/>
    </row>
    <row r="85" spans="1:9" s="92" customFormat="1" ht="30" customHeight="1" x14ac:dyDescent="0.2">
      <c r="A85" s="259"/>
      <c r="B85" s="260"/>
      <c r="C85" s="107"/>
      <c r="D85" s="312"/>
      <c r="E85" s="108" t="s">
        <v>4</v>
      </c>
      <c r="F85" s="195">
        <f>'Прил 7 Перечень мероприятий'!G39</f>
        <v>99.5</v>
      </c>
      <c r="G85" s="264"/>
      <c r="I85" s="188"/>
    </row>
    <row r="86" spans="1:9" s="92" customFormat="1" ht="30" customHeight="1" x14ac:dyDescent="0.2">
      <c r="A86" s="259"/>
      <c r="B86" s="260"/>
      <c r="C86" s="107"/>
      <c r="D86" s="312"/>
      <c r="E86" s="108" t="s">
        <v>52</v>
      </c>
      <c r="F86" s="195">
        <f>'Прил 7 Перечень мероприятий'!H39</f>
        <v>198</v>
      </c>
      <c r="G86" s="264"/>
      <c r="I86" s="188"/>
    </row>
    <row r="87" spans="1:9" s="92" customFormat="1" ht="30" customHeight="1" x14ac:dyDescent="0.2">
      <c r="A87" s="259"/>
      <c r="B87" s="260"/>
      <c r="C87" s="107"/>
      <c r="D87" s="312"/>
      <c r="E87" s="108" t="s">
        <v>100</v>
      </c>
      <c r="F87" s="195">
        <f>'Прил 7 Перечень мероприятий'!I39</f>
        <v>200</v>
      </c>
      <c r="G87" s="264"/>
      <c r="I87" s="188"/>
    </row>
    <row r="88" spans="1:9" s="92" customFormat="1" ht="30" customHeight="1" x14ac:dyDescent="0.2">
      <c r="A88" s="259"/>
      <c r="B88" s="260"/>
      <c r="C88" s="107"/>
      <c r="D88" s="312"/>
      <c r="E88" s="108" t="s">
        <v>101</v>
      </c>
      <c r="F88" s="195">
        <f>'Прил 7 Перечень мероприятий'!J39</f>
        <v>200</v>
      </c>
      <c r="G88" s="264"/>
      <c r="I88" s="188"/>
    </row>
    <row r="89" spans="1:9" s="92" customFormat="1" ht="66" customHeight="1" x14ac:dyDescent="0.2">
      <c r="A89" s="259"/>
      <c r="B89" s="261"/>
      <c r="C89" s="107"/>
      <c r="D89" s="312"/>
      <c r="E89" s="106" t="s">
        <v>102</v>
      </c>
      <c r="F89" s="195">
        <f>'Прил 7 Перечень мероприятий'!K39</f>
        <v>200</v>
      </c>
      <c r="G89" s="265"/>
      <c r="I89" s="188"/>
    </row>
    <row r="90" spans="1:9" s="92" customFormat="1" x14ac:dyDescent="0.2">
      <c r="A90" s="258" t="s">
        <v>279</v>
      </c>
      <c r="B90" s="260" t="s">
        <v>166</v>
      </c>
      <c r="C90" s="145"/>
      <c r="D90" s="311" t="s">
        <v>282</v>
      </c>
      <c r="E90" s="156" t="s">
        <v>53</v>
      </c>
      <c r="F90" s="191">
        <f>SUM(F91:F95)</f>
        <v>120.72629999999999</v>
      </c>
      <c r="G90" s="261"/>
      <c r="I90" s="188"/>
    </row>
    <row r="91" spans="1:9" s="92" customFormat="1" x14ac:dyDescent="0.2">
      <c r="A91" s="259"/>
      <c r="B91" s="260"/>
      <c r="C91" s="145"/>
      <c r="D91" s="312"/>
      <c r="E91" s="155" t="s">
        <v>4</v>
      </c>
      <c r="F91" s="195">
        <f>'Прил 7 Перечень мероприятий'!G41</f>
        <v>21.726299999999998</v>
      </c>
      <c r="G91" s="264"/>
      <c r="I91" s="188"/>
    </row>
    <row r="92" spans="1:9" s="92" customFormat="1" x14ac:dyDescent="0.2">
      <c r="A92" s="259"/>
      <c r="B92" s="260"/>
      <c r="C92" s="145"/>
      <c r="D92" s="312"/>
      <c r="E92" s="155" t="s">
        <v>52</v>
      </c>
      <c r="F92" s="195">
        <f>'Прил 7 Перечень мероприятий'!H41</f>
        <v>24</v>
      </c>
      <c r="G92" s="264"/>
      <c r="I92" s="188"/>
    </row>
    <row r="93" spans="1:9" s="92" customFormat="1" x14ac:dyDescent="0.2">
      <c r="A93" s="259"/>
      <c r="B93" s="260"/>
      <c r="C93" s="145"/>
      <c r="D93" s="312"/>
      <c r="E93" s="155" t="s">
        <v>100</v>
      </c>
      <c r="F93" s="195">
        <f>'Прил 7 Перечень мероприятий'!I41</f>
        <v>25</v>
      </c>
      <c r="G93" s="264"/>
      <c r="I93" s="188"/>
    </row>
    <row r="94" spans="1:9" s="92" customFormat="1" x14ac:dyDescent="0.2">
      <c r="A94" s="259"/>
      <c r="B94" s="260"/>
      <c r="C94" s="145"/>
      <c r="D94" s="312"/>
      <c r="E94" s="155" t="s">
        <v>101</v>
      </c>
      <c r="F94" s="195">
        <f>'Прил 7 Перечень мероприятий'!J41</f>
        <v>25</v>
      </c>
      <c r="G94" s="264"/>
      <c r="I94" s="188"/>
    </row>
    <row r="95" spans="1:9" s="92" customFormat="1" x14ac:dyDescent="0.2">
      <c r="A95" s="259"/>
      <c r="B95" s="261"/>
      <c r="C95" s="145"/>
      <c r="D95" s="312"/>
      <c r="E95" s="154" t="s">
        <v>102</v>
      </c>
      <c r="F95" s="195">
        <f>'Прил 7 Перечень мероприятий'!K41</f>
        <v>25</v>
      </c>
      <c r="G95" s="265"/>
      <c r="I95" s="188"/>
    </row>
    <row r="96" spans="1:9" s="92" customFormat="1" x14ac:dyDescent="0.2">
      <c r="A96" s="258" t="s">
        <v>391</v>
      </c>
      <c r="B96" s="260" t="s">
        <v>166</v>
      </c>
      <c r="C96" s="145"/>
      <c r="D96" s="311" t="s">
        <v>392</v>
      </c>
      <c r="E96" s="164" t="s">
        <v>53</v>
      </c>
      <c r="F96" s="191">
        <f>SUM(F97:F101)</f>
        <v>590</v>
      </c>
      <c r="G96" s="261"/>
      <c r="I96" s="188"/>
    </row>
    <row r="97" spans="1:9" s="92" customFormat="1" x14ac:dyDescent="0.2">
      <c r="A97" s="259"/>
      <c r="B97" s="260"/>
      <c r="C97" s="145"/>
      <c r="D97" s="312"/>
      <c r="E97" s="163" t="s">
        <v>4</v>
      </c>
      <c r="F97" s="195">
        <f>'Прил 7 Перечень мероприятий'!G43</f>
        <v>0</v>
      </c>
      <c r="G97" s="264"/>
      <c r="I97" s="188"/>
    </row>
    <row r="98" spans="1:9" s="92" customFormat="1" x14ac:dyDescent="0.2">
      <c r="A98" s="259"/>
      <c r="B98" s="260"/>
      <c r="C98" s="145"/>
      <c r="D98" s="312"/>
      <c r="E98" s="163" t="s">
        <v>52</v>
      </c>
      <c r="F98" s="195">
        <f>'Прил 7 Перечень мероприятий'!H43</f>
        <v>590</v>
      </c>
      <c r="G98" s="264"/>
      <c r="I98" s="188"/>
    </row>
    <row r="99" spans="1:9" s="92" customFormat="1" x14ac:dyDescent="0.2">
      <c r="A99" s="259"/>
      <c r="B99" s="260"/>
      <c r="C99" s="145"/>
      <c r="D99" s="312"/>
      <c r="E99" s="163" t="s">
        <v>100</v>
      </c>
      <c r="F99" s="195">
        <f>'Прил 7 Перечень мероприятий'!I43</f>
        <v>0</v>
      </c>
      <c r="G99" s="264"/>
      <c r="I99" s="188"/>
    </row>
    <row r="100" spans="1:9" s="92" customFormat="1" x14ac:dyDescent="0.2">
      <c r="A100" s="259"/>
      <c r="B100" s="260"/>
      <c r="C100" s="145"/>
      <c r="D100" s="312"/>
      <c r="E100" s="163" t="s">
        <v>101</v>
      </c>
      <c r="F100" s="195">
        <f>'Прил 7 Перечень мероприятий'!I43</f>
        <v>0</v>
      </c>
      <c r="G100" s="264"/>
      <c r="I100" s="188"/>
    </row>
    <row r="101" spans="1:9" s="92" customFormat="1" x14ac:dyDescent="0.2">
      <c r="A101" s="259"/>
      <c r="B101" s="261"/>
      <c r="C101" s="145"/>
      <c r="D101" s="312"/>
      <c r="E101" s="162" t="s">
        <v>102</v>
      </c>
      <c r="F101" s="195">
        <f>'Прил 7 Перечень мероприятий'!K43</f>
        <v>0</v>
      </c>
      <c r="G101" s="265"/>
      <c r="I101" s="188"/>
    </row>
    <row r="102" spans="1:9" s="92" customFormat="1" x14ac:dyDescent="0.2">
      <c r="A102" s="258" t="s">
        <v>162</v>
      </c>
      <c r="B102" s="276" t="s">
        <v>272</v>
      </c>
      <c r="C102" s="244" t="s">
        <v>116</v>
      </c>
      <c r="D102" s="244"/>
      <c r="E102" s="79" t="s">
        <v>53</v>
      </c>
      <c r="F102" s="196">
        <f>F103+F104+F105+F106+F107</f>
        <v>49612.642399999997</v>
      </c>
      <c r="G102" s="319"/>
      <c r="I102" s="188"/>
    </row>
    <row r="103" spans="1:9" s="92" customFormat="1" x14ac:dyDescent="0.2">
      <c r="A103" s="259"/>
      <c r="B103" s="276"/>
      <c r="C103" s="244"/>
      <c r="D103" s="244"/>
      <c r="E103" s="66" t="s">
        <v>4</v>
      </c>
      <c r="F103" s="197">
        <f>'Прил 7 Перечень мероприятий'!G44</f>
        <v>32751.842400000001</v>
      </c>
      <c r="G103" s="319"/>
      <c r="I103" s="188"/>
    </row>
    <row r="104" spans="1:9" s="92" customFormat="1" x14ac:dyDescent="0.2">
      <c r="A104" s="259"/>
      <c r="B104" s="276"/>
      <c r="C104" s="244"/>
      <c r="D104" s="244"/>
      <c r="E104" s="66" t="s">
        <v>52</v>
      </c>
      <c r="F104" s="195">
        <f>'Прил 7 Перечень мероприятий'!H45</f>
        <v>8921.6</v>
      </c>
      <c r="G104" s="319"/>
      <c r="I104" s="188"/>
    </row>
    <row r="105" spans="1:9" s="92" customFormat="1" x14ac:dyDescent="0.2">
      <c r="A105" s="259"/>
      <c r="B105" s="276"/>
      <c r="C105" s="244"/>
      <c r="D105" s="244"/>
      <c r="E105" s="66" t="s">
        <v>100</v>
      </c>
      <c r="F105" s="195">
        <f>'Прил 7 Перечень мероприятий'!I45</f>
        <v>7939.2</v>
      </c>
      <c r="G105" s="319"/>
      <c r="I105" s="188"/>
    </row>
    <row r="106" spans="1:9" s="92" customFormat="1" x14ac:dyDescent="0.2">
      <c r="A106" s="259"/>
      <c r="B106" s="276"/>
      <c r="C106" s="244"/>
      <c r="D106" s="244"/>
      <c r="E106" s="66" t="s">
        <v>101</v>
      </c>
      <c r="F106" s="195">
        <f>'Прил 7 Перечень мероприятий'!J45</f>
        <v>0</v>
      </c>
      <c r="G106" s="319"/>
      <c r="I106" s="188"/>
    </row>
    <row r="107" spans="1:9" s="92" customFormat="1" x14ac:dyDescent="0.2">
      <c r="A107" s="259"/>
      <c r="B107" s="277"/>
      <c r="C107" s="244"/>
      <c r="D107" s="244"/>
      <c r="E107" s="66" t="s">
        <v>102</v>
      </c>
      <c r="F107" s="195">
        <f>'Прил 7 Перечень мероприятий'!K45</f>
        <v>0</v>
      </c>
      <c r="G107" s="319"/>
      <c r="I107" s="188"/>
    </row>
    <row r="108" spans="1:9" s="92" customFormat="1" x14ac:dyDescent="0.2">
      <c r="A108" s="258" t="s">
        <v>198</v>
      </c>
      <c r="B108" s="260" t="s">
        <v>166</v>
      </c>
      <c r="C108" s="67"/>
      <c r="D108" s="261"/>
      <c r="E108" s="79" t="s">
        <v>53</v>
      </c>
      <c r="F108" s="191">
        <f>F109+F110+F111+F112+F113</f>
        <v>0</v>
      </c>
      <c r="G108" s="261"/>
      <c r="I108" s="188"/>
    </row>
    <row r="109" spans="1:9" s="92" customFormat="1" x14ac:dyDescent="0.2">
      <c r="A109" s="259"/>
      <c r="B109" s="260"/>
      <c r="C109" s="67"/>
      <c r="D109" s="264"/>
      <c r="E109" s="66" t="s">
        <v>4</v>
      </c>
      <c r="F109" s="195">
        <f>'Прил 7 Перечень мероприятий'!G48</f>
        <v>0</v>
      </c>
      <c r="G109" s="264"/>
      <c r="I109" s="188"/>
    </row>
    <row r="110" spans="1:9" s="92" customFormat="1" x14ac:dyDescent="0.2">
      <c r="A110" s="259"/>
      <c r="B110" s="260"/>
      <c r="C110" s="67"/>
      <c r="D110" s="264"/>
      <c r="E110" s="66" t="s">
        <v>52</v>
      </c>
      <c r="F110" s="195">
        <f>'Прил 7 Перечень мероприятий'!H48</f>
        <v>0</v>
      </c>
      <c r="G110" s="264"/>
      <c r="I110" s="188"/>
    </row>
    <row r="111" spans="1:9" s="92" customFormat="1" x14ac:dyDescent="0.2">
      <c r="A111" s="259"/>
      <c r="B111" s="260"/>
      <c r="C111" s="67"/>
      <c r="D111" s="264"/>
      <c r="E111" s="66" t="s">
        <v>100</v>
      </c>
      <c r="F111" s="195">
        <f>'Прил 7 Перечень мероприятий'!I48</f>
        <v>0</v>
      </c>
      <c r="G111" s="264"/>
      <c r="I111" s="188"/>
    </row>
    <row r="112" spans="1:9" s="92" customFormat="1" x14ac:dyDescent="0.2">
      <c r="A112" s="259"/>
      <c r="B112" s="260"/>
      <c r="C112" s="67"/>
      <c r="D112" s="264"/>
      <c r="E112" s="66" t="s">
        <v>101</v>
      </c>
      <c r="F112" s="195">
        <f>'Прил 7 Перечень мероприятий'!J48</f>
        <v>0</v>
      </c>
      <c r="G112" s="264"/>
      <c r="I112" s="188"/>
    </row>
    <row r="113" spans="1:9" s="92" customFormat="1" x14ac:dyDescent="0.2">
      <c r="A113" s="259"/>
      <c r="B113" s="261"/>
      <c r="C113" s="67"/>
      <c r="D113" s="265"/>
      <c r="E113" s="66" t="s">
        <v>102</v>
      </c>
      <c r="F113" s="195">
        <f>'Прил 7 Перечень мероприятий'!K48</f>
        <v>0</v>
      </c>
      <c r="G113" s="265"/>
      <c r="I113" s="188"/>
    </row>
    <row r="114" spans="1:9" s="92" customFormat="1" x14ac:dyDescent="0.2">
      <c r="A114" s="313" t="s">
        <v>286</v>
      </c>
      <c r="B114" s="276" t="s">
        <v>166</v>
      </c>
      <c r="C114" s="110"/>
      <c r="D114" s="287" t="s">
        <v>289</v>
      </c>
      <c r="E114" s="79" t="s">
        <v>53</v>
      </c>
      <c r="F114" s="191">
        <f>F115+F116+F117+F118+F119</f>
        <v>2899.7624000000001</v>
      </c>
      <c r="G114" s="261"/>
      <c r="I114" s="188"/>
    </row>
    <row r="115" spans="1:9" s="92" customFormat="1" x14ac:dyDescent="0.2">
      <c r="A115" s="288"/>
      <c r="B115" s="276"/>
      <c r="C115" s="110"/>
      <c r="D115" s="288"/>
      <c r="E115" s="66" t="s">
        <v>4</v>
      </c>
      <c r="F115" s="195">
        <f>'Прил 7 Перечень мероприятий'!G50</f>
        <v>799.76240000000007</v>
      </c>
      <c r="G115" s="264"/>
      <c r="I115" s="188"/>
    </row>
    <row r="116" spans="1:9" s="92" customFormat="1" x14ac:dyDescent="0.2">
      <c r="A116" s="288"/>
      <c r="B116" s="276"/>
      <c r="C116" s="110"/>
      <c r="D116" s="288"/>
      <c r="E116" s="66" t="s">
        <v>52</v>
      </c>
      <c r="F116" s="195">
        <f>'Прил 7 Перечень мероприятий'!H50</f>
        <v>2100</v>
      </c>
      <c r="G116" s="264"/>
      <c r="I116" s="188"/>
    </row>
    <row r="117" spans="1:9" s="92" customFormat="1" x14ac:dyDescent="0.2">
      <c r="A117" s="288"/>
      <c r="B117" s="276"/>
      <c r="C117" s="110"/>
      <c r="D117" s="288"/>
      <c r="E117" s="66" t="s">
        <v>100</v>
      </c>
      <c r="F117" s="195">
        <f>'Прил 7 Перечень мероприятий'!I50</f>
        <v>0</v>
      </c>
      <c r="G117" s="264"/>
      <c r="I117" s="188"/>
    </row>
    <row r="118" spans="1:9" s="92" customFormat="1" x14ac:dyDescent="0.2">
      <c r="A118" s="288"/>
      <c r="B118" s="276"/>
      <c r="C118" s="110"/>
      <c r="D118" s="288"/>
      <c r="E118" s="66" t="s">
        <v>101</v>
      </c>
      <c r="F118" s="195">
        <f>'Прил 7 Перечень мероприятий'!J50</f>
        <v>0</v>
      </c>
      <c r="G118" s="264"/>
      <c r="I118" s="188"/>
    </row>
    <row r="119" spans="1:9" s="92" customFormat="1" x14ac:dyDescent="0.2">
      <c r="A119" s="288"/>
      <c r="B119" s="277"/>
      <c r="C119" s="110"/>
      <c r="D119" s="289"/>
      <c r="E119" s="66" t="s">
        <v>102</v>
      </c>
      <c r="F119" s="195">
        <f>'Прил 7 Перечень мероприятий'!K50</f>
        <v>0</v>
      </c>
      <c r="G119" s="265"/>
      <c r="I119" s="188"/>
    </row>
    <row r="120" spans="1:9" s="92" customFormat="1" x14ac:dyDescent="0.2">
      <c r="A120" s="314" t="s">
        <v>293</v>
      </c>
      <c r="B120" s="276" t="s">
        <v>272</v>
      </c>
      <c r="C120" s="145"/>
      <c r="D120" s="287" t="s">
        <v>290</v>
      </c>
      <c r="E120" s="147" t="s">
        <v>53</v>
      </c>
      <c r="F120" s="191">
        <f>F121+F122+F123+F124+F125</f>
        <v>26424.37</v>
      </c>
      <c r="G120" s="261"/>
      <c r="I120" s="188"/>
    </row>
    <row r="121" spans="1:9" s="92" customFormat="1" x14ac:dyDescent="0.2">
      <c r="A121" s="259"/>
      <c r="B121" s="276"/>
      <c r="C121" s="145"/>
      <c r="D121" s="288"/>
      <c r="E121" s="144" t="s">
        <v>4</v>
      </c>
      <c r="F121" s="195">
        <f>'Прил 7 Перечень мероприятий'!G46+'Прил 7 Перечень мероприятий'!G47</f>
        <v>26424.37</v>
      </c>
      <c r="G121" s="264"/>
      <c r="I121" s="188"/>
    </row>
    <row r="122" spans="1:9" s="92" customFormat="1" x14ac:dyDescent="0.2">
      <c r="A122" s="259"/>
      <c r="B122" s="276"/>
      <c r="C122" s="145"/>
      <c r="D122" s="288"/>
      <c r="E122" s="144" t="s">
        <v>52</v>
      </c>
      <c r="F122" s="195">
        <f>'Прил 7 Перечень мероприятий'!H47</f>
        <v>0</v>
      </c>
      <c r="G122" s="264"/>
      <c r="I122" s="188"/>
    </row>
    <row r="123" spans="1:9" s="92" customFormat="1" x14ac:dyDescent="0.2">
      <c r="A123" s="259"/>
      <c r="B123" s="276"/>
      <c r="C123" s="145"/>
      <c r="D123" s="288"/>
      <c r="E123" s="144" t="s">
        <v>100</v>
      </c>
      <c r="F123" s="195">
        <f>'Прил 7 Перечень мероприятий'!I47</f>
        <v>0</v>
      </c>
      <c r="G123" s="264"/>
      <c r="I123" s="188"/>
    </row>
    <row r="124" spans="1:9" s="92" customFormat="1" x14ac:dyDescent="0.2">
      <c r="A124" s="259"/>
      <c r="B124" s="276"/>
      <c r="C124" s="145"/>
      <c r="D124" s="288"/>
      <c r="E124" s="144" t="s">
        <v>101</v>
      </c>
      <c r="F124" s="195">
        <f>'Прил 7 Перечень мероприятий'!J47</f>
        <v>0</v>
      </c>
      <c r="G124" s="264"/>
      <c r="I124" s="188"/>
    </row>
    <row r="125" spans="1:9" s="92" customFormat="1" x14ac:dyDescent="0.2">
      <c r="A125" s="259"/>
      <c r="B125" s="277"/>
      <c r="C125" s="145"/>
      <c r="D125" s="289"/>
      <c r="E125" s="144" t="s">
        <v>102</v>
      </c>
      <c r="F125" s="195">
        <f>'Прил 7 Перечень мероприятий'!K47</f>
        <v>0</v>
      </c>
      <c r="G125" s="265"/>
      <c r="I125" s="188"/>
    </row>
    <row r="126" spans="1:9" s="92" customFormat="1" x14ac:dyDescent="0.2">
      <c r="A126" s="314" t="s">
        <v>372</v>
      </c>
      <c r="B126" s="276" t="s">
        <v>272</v>
      </c>
      <c r="C126" s="145"/>
      <c r="D126" s="287" t="s">
        <v>290</v>
      </c>
      <c r="E126" s="147" t="s">
        <v>53</v>
      </c>
      <c r="F126" s="191">
        <f>F127+F128+F129+F130+F131</f>
        <v>7291.2</v>
      </c>
      <c r="G126" s="261"/>
      <c r="I126" s="188"/>
    </row>
    <row r="127" spans="1:9" s="92" customFormat="1" x14ac:dyDescent="0.2">
      <c r="A127" s="259"/>
      <c r="B127" s="276"/>
      <c r="C127" s="145"/>
      <c r="D127" s="288"/>
      <c r="E127" s="144" t="s">
        <v>4</v>
      </c>
      <c r="F127" s="195">
        <f>'Прил 7 Перечень мероприятий'!G56</f>
        <v>0</v>
      </c>
      <c r="G127" s="264"/>
      <c r="I127" s="188"/>
    </row>
    <row r="128" spans="1:9" s="92" customFormat="1" x14ac:dyDescent="0.2">
      <c r="A128" s="259"/>
      <c r="B128" s="276"/>
      <c r="C128" s="145"/>
      <c r="D128" s="288"/>
      <c r="E128" s="144" t="s">
        <v>52</v>
      </c>
      <c r="F128" s="195">
        <f>'Прил 7 Перечень мероприятий'!H56</f>
        <v>3321.6</v>
      </c>
      <c r="G128" s="264"/>
      <c r="I128" s="188"/>
    </row>
    <row r="129" spans="1:9" s="92" customFormat="1" x14ac:dyDescent="0.2">
      <c r="A129" s="259"/>
      <c r="B129" s="276"/>
      <c r="C129" s="145"/>
      <c r="D129" s="288"/>
      <c r="E129" s="144" t="s">
        <v>100</v>
      </c>
      <c r="F129" s="195">
        <f>'Прил 7 Перечень мероприятий'!I56</f>
        <v>3969.6</v>
      </c>
      <c r="G129" s="264"/>
      <c r="I129" s="188"/>
    </row>
    <row r="130" spans="1:9" s="92" customFormat="1" x14ac:dyDescent="0.2">
      <c r="A130" s="259"/>
      <c r="B130" s="276"/>
      <c r="C130" s="145"/>
      <c r="D130" s="288"/>
      <c r="E130" s="144" t="s">
        <v>101</v>
      </c>
      <c r="F130" s="195">
        <f>'Прил 7 Перечень мероприятий'!J56</f>
        <v>0</v>
      </c>
      <c r="G130" s="264"/>
      <c r="I130" s="188"/>
    </row>
    <row r="131" spans="1:9" s="92" customFormat="1" x14ac:dyDescent="0.2">
      <c r="A131" s="259"/>
      <c r="B131" s="277"/>
      <c r="C131" s="145"/>
      <c r="D131" s="289"/>
      <c r="E131" s="144" t="s">
        <v>102</v>
      </c>
      <c r="F131" s="195">
        <f>'Прил 7 Перечень мероприятий'!K56</f>
        <v>0</v>
      </c>
      <c r="G131" s="265"/>
      <c r="I131" s="188"/>
    </row>
    <row r="132" spans="1:9" s="92" customFormat="1" x14ac:dyDescent="0.2">
      <c r="A132" s="314" t="s">
        <v>373</v>
      </c>
      <c r="B132" s="276" t="s">
        <v>272</v>
      </c>
      <c r="C132" s="145"/>
      <c r="D132" s="287" t="s">
        <v>290</v>
      </c>
      <c r="E132" s="161" t="s">
        <v>53</v>
      </c>
      <c r="F132" s="191">
        <f>F133+F134+F135+F136+F137</f>
        <v>3969.6</v>
      </c>
      <c r="G132" s="261"/>
      <c r="I132" s="188"/>
    </row>
    <row r="133" spans="1:9" s="92" customFormat="1" x14ac:dyDescent="0.2">
      <c r="A133" s="259"/>
      <c r="B133" s="276"/>
      <c r="C133" s="145"/>
      <c r="D133" s="288"/>
      <c r="E133" s="159" t="s">
        <v>4</v>
      </c>
      <c r="F133" s="195">
        <f>'Прил 7 Перечень мероприятий'!G59</f>
        <v>0</v>
      </c>
      <c r="G133" s="264"/>
      <c r="I133" s="188"/>
    </row>
    <row r="134" spans="1:9" s="92" customFormat="1" x14ac:dyDescent="0.2">
      <c r="A134" s="259"/>
      <c r="B134" s="276"/>
      <c r="C134" s="145"/>
      <c r="D134" s="288"/>
      <c r="E134" s="159" t="s">
        <v>52</v>
      </c>
      <c r="F134" s="195">
        <f>'Прил 7 Перечень мероприятий'!H59</f>
        <v>0</v>
      </c>
      <c r="G134" s="264"/>
      <c r="I134" s="188"/>
    </row>
    <row r="135" spans="1:9" s="92" customFormat="1" x14ac:dyDescent="0.2">
      <c r="A135" s="259"/>
      <c r="B135" s="276"/>
      <c r="C135" s="145"/>
      <c r="D135" s="288"/>
      <c r="E135" s="159" t="s">
        <v>100</v>
      </c>
      <c r="F135" s="195">
        <f>'Прил 7 Перечень мероприятий'!I59</f>
        <v>3969.6</v>
      </c>
      <c r="G135" s="264"/>
      <c r="I135" s="188"/>
    </row>
    <row r="136" spans="1:9" s="92" customFormat="1" x14ac:dyDescent="0.2">
      <c r="A136" s="259"/>
      <c r="B136" s="276"/>
      <c r="C136" s="145"/>
      <c r="D136" s="288"/>
      <c r="E136" s="159" t="s">
        <v>101</v>
      </c>
      <c r="F136" s="195">
        <f>'Прил 7 Перечень мероприятий'!J59</f>
        <v>0</v>
      </c>
      <c r="G136" s="264"/>
      <c r="I136" s="188"/>
    </row>
    <row r="137" spans="1:9" s="92" customFormat="1" x14ac:dyDescent="0.2">
      <c r="A137" s="259"/>
      <c r="B137" s="277"/>
      <c r="C137" s="145"/>
      <c r="D137" s="289"/>
      <c r="E137" s="159" t="s">
        <v>102</v>
      </c>
      <c r="F137" s="195">
        <f>'Прил 7 Перечень мероприятий'!K59</f>
        <v>0</v>
      </c>
      <c r="G137" s="265"/>
      <c r="I137" s="188"/>
    </row>
    <row r="138" spans="1:9" s="92" customFormat="1" ht="19.5" customHeight="1" x14ac:dyDescent="0.2">
      <c r="A138" s="258" t="s">
        <v>383</v>
      </c>
      <c r="B138" s="276" t="s">
        <v>272</v>
      </c>
      <c r="C138" s="145"/>
      <c r="D138" s="287" t="s">
        <v>290</v>
      </c>
      <c r="E138" s="79" t="s">
        <v>53</v>
      </c>
      <c r="F138" s="191">
        <f>F139+F140+F141+F142+F143</f>
        <v>3500</v>
      </c>
      <c r="G138" s="261"/>
      <c r="I138" s="188"/>
    </row>
    <row r="139" spans="1:9" s="92" customFormat="1" x14ac:dyDescent="0.2">
      <c r="A139" s="259"/>
      <c r="B139" s="276"/>
      <c r="C139" s="145"/>
      <c r="D139" s="288"/>
      <c r="E139" s="66" t="s">
        <v>4</v>
      </c>
      <c r="F139" s="195">
        <f>'Прил 7 Перечень мероприятий'!G62</f>
        <v>0</v>
      </c>
      <c r="G139" s="264"/>
      <c r="I139" s="188"/>
    </row>
    <row r="140" spans="1:9" s="92" customFormat="1" x14ac:dyDescent="0.2">
      <c r="A140" s="259"/>
      <c r="B140" s="276"/>
      <c r="C140" s="145"/>
      <c r="D140" s="288"/>
      <c r="E140" s="66" t="s">
        <v>52</v>
      </c>
      <c r="F140" s="195">
        <f>'Прил 7 Перечень мероприятий'!H62</f>
        <v>3500</v>
      </c>
      <c r="G140" s="264"/>
      <c r="I140" s="188"/>
    </row>
    <row r="141" spans="1:9" s="92" customFormat="1" x14ac:dyDescent="0.2">
      <c r="A141" s="259"/>
      <c r="B141" s="276"/>
      <c r="C141" s="145"/>
      <c r="D141" s="288"/>
      <c r="E141" s="66" t="s">
        <v>100</v>
      </c>
      <c r="F141" s="195">
        <f>'Прил 7 Перечень мероприятий'!I62</f>
        <v>0</v>
      </c>
      <c r="G141" s="264"/>
      <c r="I141" s="188"/>
    </row>
    <row r="142" spans="1:9" s="92" customFormat="1" x14ac:dyDescent="0.2">
      <c r="A142" s="259"/>
      <c r="B142" s="276"/>
      <c r="C142" s="145"/>
      <c r="D142" s="288"/>
      <c r="E142" s="66" t="s">
        <v>101</v>
      </c>
      <c r="F142" s="195">
        <f>'Прил 7 Перечень мероприятий'!J62</f>
        <v>0</v>
      </c>
      <c r="G142" s="264"/>
      <c r="I142" s="188"/>
    </row>
    <row r="143" spans="1:9" s="92" customFormat="1" x14ac:dyDescent="0.2">
      <c r="A143" s="259"/>
      <c r="B143" s="277"/>
      <c r="C143" s="145"/>
      <c r="D143" s="289"/>
      <c r="E143" s="66" t="s">
        <v>102</v>
      </c>
      <c r="F143" s="195">
        <f>'Прил 7 Перечень мероприятий'!K62</f>
        <v>0</v>
      </c>
      <c r="G143" s="265"/>
      <c r="I143" s="188"/>
    </row>
    <row r="144" spans="1:9" ht="19.5" customHeight="1" x14ac:dyDescent="0.2">
      <c r="A144" s="337" t="s">
        <v>82</v>
      </c>
      <c r="B144" s="337"/>
      <c r="C144" s="337"/>
      <c r="D144" s="337"/>
      <c r="E144" s="337"/>
      <c r="F144" s="337"/>
      <c r="G144" s="337"/>
      <c r="I144" s="189">
        <f>F150+F156+F162+F168+F174+F180+F186+F192+F198+F204+F210+F216+F222+F228+F234+F240+F252</f>
        <v>177104.91483999998</v>
      </c>
    </row>
    <row r="145" spans="1:7" x14ac:dyDescent="0.2">
      <c r="A145" s="338" t="s">
        <v>165</v>
      </c>
      <c r="B145" s="321"/>
      <c r="C145" s="271"/>
      <c r="D145" s="271"/>
      <c r="E145" s="309"/>
      <c r="F145" s="324"/>
      <c r="G145" s="241"/>
    </row>
    <row r="146" spans="1:7" x14ac:dyDescent="0.2">
      <c r="A146" s="322"/>
      <c r="B146" s="323"/>
      <c r="C146" s="271"/>
      <c r="D146" s="271"/>
      <c r="E146" s="310"/>
      <c r="F146" s="325"/>
      <c r="G146" s="241"/>
    </row>
    <row r="147" spans="1:7" x14ac:dyDescent="0.2">
      <c r="A147" s="322"/>
      <c r="B147" s="323"/>
      <c r="C147" s="271"/>
      <c r="D147" s="271"/>
      <c r="E147" s="310"/>
      <c r="F147" s="325"/>
      <c r="G147" s="241"/>
    </row>
    <row r="148" spans="1:7" x14ac:dyDescent="0.2">
      <c r="A148" s="322"/>
      <c r="B148" s="323"/>
      <c r="C148" s="271"/>
      <c r="D148" s="271"/>
      <c r="E148" s="310"/>
      <c r="F148" s="325"/>
      <c r="G148" s="241"/>
    </row>
    <row r="149" spans="1:7" x14ac:dyDescent="0.2">
      <c r="A149" s="322"/>
      <c r="B149" s="323"/>
      <c r="C149" s="271"/>
      <c r="D149" s="271"/>
      <c r="E149" s="310"/>
      <c r="F149" s="325"/>
      <c r="G149" s="241"/>
    </row>
    <row r="150" spans="1:7" x14ac:dyDescent="0.2">
      <c r="A150" s="286" t="s">
        <v>236</v>
      </c>
      <c r="B150" s="228" t="s">
        <v>166</v>
      </c>
      <c r="C150" s="282" t="s">
        <v>390</v>
      </c>
      <c r="D150" s="283"/>
      <c r="E150" s="78" t="s">
        <v>53</v>
      </c>
      <c r="F150" s="193">
        <f>SUM(F151:F155)</f>
        <v>133369.20189</v>
      </c>
      <c r="G150" s="241"/>
    </row>
    <row r="151" spans="1:7" x14ac:dyDescent="0.2">
      <c r="A151" s="279"/>
      <c r="B151" s="228"/>
      <c r="C151" s="284"/>
      <c r="D151" s="285"/>
      <c r="E151" s="77" t="s">
        <v>4</v>
      </c>
      <c r="F151" s="59">
        <f>'Прил 7 Перечень мероприятий'!G72</f>
        <v>25761.599999999999</v>
      </c>
      <c r="G151" s="241"/>
    </row>
    <row r="152" spans="1:7" x14ac:dyDescent="0.2">
      <c r="A152" s="279"/>
      <c r="B152" s="228"/>
      <c r="C152" s="284"/>
      <c r="D152" s="285"/>
      <c r="E152" s="77" t="s">
        <v>52</v>
      </c>
      <c r="F152" s="59">
        <f>'Прил 7 Перечень мероприятий'!H72</f>
        <v>24271.20189</v>
      </c>
      <c r="G152" s="241"/>
    </row>
    <row r="153" spans="1:7" x14ac:dyDescent="0.2">
      <c r="A153" s="279"/>
      <c r="B153" s="228"/>
      <c r="C153" s="284"/>
      <c r="D153" s="285"/>
      <c r="E153" s="77" t="s">
        <v>100</v>
      </c>
      <c r="F153" s="59">
        <f>'Прил 7 Перечень мероприятий'!I72</f>
        <v>27778.799999999999</v>
      </c>
      <c r="G153" s="241"/>
    </row>
    <row r="154" spans="1:7" x14ac:dyDescent="0.2">
      <c r="A154" s="279"/>
      <c r="B154" s="228"/>
      <c r="C154" s="284"/>
      <c r="D154" s="285"/>
      <c r="E154" s="77" t="s">
        <v>101</v>
      </c>
      <c r="F154" s="59">
        <f>'Прил 7 Перечень мероприятий'!J72</f>
        <v>27778.799999999999</v>
      </c>
      <c r="G154" s="241"/>
    </row>
    <row r="155" spans="1:7" x14ac:dyDescent="0.2">
      <c r="A155" s="279"/>
      <c r="B155" s="228"/>
      <c r="C155" s="284"/>
      <c r="D155" s="285"/>
      <c r="E155" s="77" t="s">
        <v>102</v>
      </c>
      <c r="F155" s="59">
        <f>'Прил 7 Перечень мероприятий'!K72</f>
        <v>27778.799999999999</v>
      </c>
      <c r="G155" s="241"/>
    </row>
    <row r="156" spans="1:7" x14ac:dyDescent="0.2">
      <c r="A156" s="278" t="s">
        <v>254</v>
      </c>
      <c r="B156" s="228" t="s">
        <v>166</v>
      </c>
      <c r="C156" s="291" t="s">
        <v>346</v>
      </c>
      <c r="D156" s="292"/>
      <c r="E156" s="78" t="s">
        <v>53</v>
      </c>
      <c r="F156" s="193">
        <f>SUM(F157:F161)</f>
        <v>6221.1</v>
      </c>
      <c r="G156" s="241"/>
    </row>
    <row r="157" spans="1:7" x14ac:dyDescent="0.2">
      <c r="A157" s="279"/>
      <c r="B157" s="228"/>
      <c r="C157" s="293"/>
      <c r="D157" s="294"/>
      <c r="E157" s="77" t="s">
        <v>4</v>
      </c>
      <c r="F157" s="59">
        <f>'Прил 7 Перечень мероприятий'!G74</f>
        <v>1323.5</v>
      </c>
      <c r="G157" s="241"/>
    </row>
    <row r="158" spans="1:7" x14ac:dyDescent="0.2">
      <c r="A158" s="279"/>
      <c r="B158" s="228"/>
      <c r="C158" s="293"/>
      <c r="D158" s="294"/>
      <c r="E158" s="77" t="s">
        <v>52</v>
      </c>
      <c r="F158" s="59">
        <f>'Прил 7 Перечень мероприятий'!H74</f>
        <v>1200.4000000000001</v>
      </c>
      <c r="G158" s="241"/>
    </row>
    <row r="159" spans="1:7" x14ac:dyDescent="0.2">
      <c r="A159" s="279"/>
      <c r="B159" s="228"/>
      <c r="C159" s="293"/>
      <c r="D159" s="294"/>
      <c r="E159" s="77" t="s">
        <v>100</v>
      </c>
      <c r="F159" s="59">
        <f>'Прил 7 Перечень мероприятий'!I74</f>
        <v>1200.4000000000001</v>
      </c>
      <c r="G159" s="241"/>
    </row>
    <row r="160" spans="1:7" x14ac:dyDescent="0.2">
      <c r="A160" s="279"/>
      <c r="B160" s="228"/>
      <c r="C160" s="293"/>
      <c r="D160" s="294"/>
      <c r="E160" s="77" t="s">
        <v>101</v>
      </c>
      <c r="F160" s="59">
        <f>'Прил 7 Перечень мероприятий'!J74</f>
        <v>1248.4000000000001</v>
      </c>
      <c r="G160" s="241"/>
    </row>
    <row r="161" spans="1:7" x14ac:dyDescent="0.2">
      <c r="A161" s="279"/>
      <c r="B161" s="228"/>
      <c r="C161" s="293"/>
      <c r="D161" s="294"/>
      <c r="E161" s="77" t="s">
        <v>102</v>
      </c>
      <c r="F161" s="59">
        <f>'Прил 7 Перечень мероприятий'!K74</f>
        <v>1248.4000000000001</v>
      </c>
      <c r="G161" s="241"/>
    </row>
    <row r="162" spans="1:7" ht="11.25" customHeight="1" x14ac:dyDescent="0.2">
      <c r="A162" s="278" t="s">
        <v>255</v>
      </c>
      <c r="B162" s="228" t="s">
        <v>166</v>
      </c>
      <c r="C162" s="282" t="s">
        <v>217</v>
      </c>
      <c r="D162" s="283"/>
      <c r="E162" s="81" t="s">
        <v>53</v>
      </c>
      <c r="F162" s="193">
        <f>SUM(F163:F167)</f>
        <v>662.2</v>
      </c>
      <c r="G162" s="241"/>
    </row>
    <row r="163" spans="1:7" ht="11.25" customHeight="1" x14ac:dyDescent="0.2">
      <c r="A163" s="279"/>
      <c r="B163" s="228"/>
      <c r="C163" s="284"/>
      <c r="D163" s="285"/>
      <c r="E163" s="80" t="s">
        <v>4</v>
      </c>
      <c r="F163" s="59">
        <f>'Прил 7 Перечень мероприятий'!G76</f>
        <v>304.10000000000002</v>
      </c>
      <c r="G163" s="241"/>
    </row>
    <row r="164" spans="1:7" ht="11.25" customHeight="1" x14ac:dyDescent="0.2">
      <c r="A164" s="279"/>
      <c r="B164" s="228"/>
      <c r="C164" s="284"/>
      <c r="D164" s="285"/>
      <c r="E164" s="80" t="s">
        <v>52</v>
      </c>
      <c r="F164" s="59">
        <f>'Прил 7 Перечень мероприятий'!H76</f>
        <v>304.10000000000002</v>
      </c>
      <c r="G164" s="241"/>
    </row>
    <row r="165" spans="1:7" ht="11.25" customHeight="1" x14ac:dyDescent="0.2">
      <c r="A165" s="279"/>
      <c r="B165" s="228"/>
      <c r="C165" s="284"/>
      <c r="D165" s="285"/>
      <c r="E165" s="80" t="s">
        <v>100</v>
      </c>
      <c r="F165" s="59">
        <f>'Прил 7 Перечень мероприятий'!I76</f>
        <v>18</v>
      </c>
      <c r="G165" s="241"/>
    </row>
    <row r="166" spans="1:7" ht="11.25" customHeight="1" x14ac:dyDescent="0.2">
      <c r="A166" s="279"/>
      <c r="B166" s="228"/>
      <c r="C166" s="284"/>
      <c r="D166" s="285"/>
      <c r="E166" s="80" t="s">
        <v>101</v>
      </c>
      <c r="F166" s="59">
        <f>'Прил 7 Перечень мероприятий'!J76</f>
        <v>18</v>
      </c>
      <c r="G166" s="241"/>
    </row>
    <row r="167" spans="1:7" ht="11.25" customHeight="1" x14ac:dyDescent="0.2">
      <c r="A167" s="279"/>
      <c r="B167" s="228"/>
      <c r="C167" s="284"/>
      <c r="D167" s="285"/>
      <c r="E167" s="80" t="s">
        <v>102</v>
      </c>
      <c r="F167" s="59">
        <f>'Прил 7 Перечень мероприятий'!K76</f>
        <v>18</v>
      </c>
      <c r="G167" s="241"/>
    </row>
    <row r="168" spans="1:7" ht="15.75" customHeight="1" x14ac:dyDescent="0.2">
      <c r="A168" s="299" t="s">
        <v>256</v>
      </c>
      <c r="B168" s="228" t="s">
        <v>166</v>
      </c>
      <c r="C168" s="282" t="s">
        <v>297</v>
      </c>
      <c r="D168" s="283"/>
      <c r="E168" s="81" t="s">
        <v>53</v>
      </c>
      <c r="F168" s="193">
        <f>SUM(F169:F173)</f>
        <v>23523.96</v>
      </c>
      <c r="G168" s="241"/>
    </row>
    <row r="169" spans="1:7" ht="15.75" customHeight="1" x14ac:dyDescent="0.2">
      <c r="A169" s="300"/>
      <c r="B169" s="228"/>
      <c r="C169" s="284"/>
      <c r="D169" s="285"/>
      <c r="E169" s="80" t="s">
        <v>4</v>
      </c>
      <c r="F169" s="59">
        <f>'Прил 7 Перечень мероприятий'!G78</f>
        <v>4820.3599999999997</v>
      </c>
      <c r="G169" s="241"/>
    </row>
    <row r="170" spans="1:7" ht="15.75" customHeight="1" x14ac:dyDescent="0.2">
      <c r="A170" s="300"/>
      <c r="B170" s="228"/>
      <c r="C170" s="284"/>
      <c r="D170" s="285"/>
      <c r="E170" s="80" t="s">
        <v>52</v>
      </c>
      <c r="F170" s="59">
        <f>'Прил 7 Перечень мероприятий'!H78</f>
        <v>5444.2</v>
      </c>
      <c r="G170" s="241"/>
    </row>
    <row r="171" spans="1:7" ht="15.75" customHeight="1" x14ac:dyDescent="0.2">
      <c r="A171" s="300"/>
      <c r="B171" s="228"/>
      <c r="C171" s="284"/>
      <c r="D171" s="285"/>
      <c r="E171" s="80" t="s">
        <v>100</v>
      </c>
      <c r="F171" s="59">
        <f>'Прил 7 Перечень мероприятий'!I78</f>
        <v>4420.6000000000004</v>
      </c>
      <c r="G171" s="241"/>
    </row>
    <row r="172" spans="1:7" ht="15.75" customHeight="1" x14ac:dyDescent="0.2">
      <c r="A172" s="300"/>
      <c r="B172" s="228"/>
      <c r="C172" s="284"/>
      <c r="D172" s="285"/>
      <c r="E172" s="80" t="s">
        <v>101</v>
      </c>
      <c r="F172" s="59">
        <f>'Прил 7 Перечень мероприятий'!J78</f>
        <v>4419.3999999999996</v>
      </c>
      <c r="G172" s="241"/>
    </row>
    <row r="173" spans="1:7" ht="15.75" customHeight="1" x14ac:dyDescent="0.2">
      <c r="A173" s="300"/>
      <c r="B173" s="228"/>
      <c r="C173" s="284"/>
      <c r="D173" s="285"/>
      <c r="E173" s="80" t="s">
        <v>102</v>
      </c>
      <c r="F173" s="59">
        <f>'Прил 7 Перечень мероприятий'!K78</f>
        <v>4419.3999999999996</v>
      </c>
      <c r="G173" s="241"/>
    </row>
    <row r="174" spans="1:7" ht="16.5" customHeight="1" x14ac:dyDescent="0.2">
      <c r="A174" s="278" t="s">
        <v>257</v>
      </c>
      <c r="B174" s="228" t="s">
        <v>166</v>
      </c>
      <c r="C174" s="282" t="s">
        <v>388</v>
      </c>
      <c r="D174" s="283"/>
      <c r="E174" s="81" t="s">
        <v>53</v>
      </c>
      <c r="F174" s="193">
        <f>SUM(F175:F179)</f>
        <v>1399.1</v>
      </c>
      <c r="G174" s="241"/>
    </row>
    <row r="175" spans="1:7" ht="16.5" customHeight="1" x14ac:dyDescent="0.2">
      <c r="A175" s="279"/>
      <c r="B175" s="228"/>
      <c r="C175" s="284"/>
      <c r="D175" s="285"/>
      <c r="E175" s="80" t="s">
        <v>4</v>
      </c>
      <c r="F175" s="59">
        <f>'Прил 7 Перечень мероприятий'!G80</f>
        <v>924.5</v>
      </c>
      <c r="G175" s="241"/>
    </row>
    <row r="176" spans="1:7" ht="16.5" customHeight="1" x14ac:dyDescent="0.2">
      <c r="A176" s="279"/>
      <c r="B176" s="228"/>
      <c r="C176" s="284"/>
      <c r="D176" s="285"/>
      <c r="E176" s="80" t="s">
        <v>52</v>
      </c>
      <c r="F176" s="59">
        <f>'Прил 7 Перечень мероприятий'!H80</f>
        <v>429.6</v>
      </c>
      <c r="G176" s="241"/>
    </row>
    <row r="177" spans="1:7" ht="16.5" customHeight="1" x14ac:dyDescent="0.2">
      <c r="A177" s="279"/>
      <c r="B177" s="228"/>
      <c r="C177" s="284"/>
      <c r="D177" s="285"/>
      <c r="E177" s="80" t="s">
        <v>100</v>
      </c>
      <c r="F177" s="59">
        <f>'Прил 7 Перечень мероприятий'!I80</f>
        <v>15</v>
      </c>
      <c r="G177" s="241"/>
    </row>
    <row r="178" spans="1:7" ht="16.5" customHeight="1" x14ac:dyDescent="0.2">
      <c r="A178" s="279"/>
      <c r="B178" s="228"/>
      <c r="C178" s="284"/>
      <c r="D178" s="285"/>
      <c r="E178" s="80" t="s">
        <v>101</v>
      </c>
      <c r="F178" s="59">
        <f>'Прил 7 Перечень мероприятий'!J80</f>
        <v>15</v>
      </c>
      <c r="G178" s="241"/>
    </row>
    <row r="179" spans="1:7" ht="15" customHeight="1" x14ac:dyDescent="0.2">
      <c r="A179" s="279"/>
      <c r="B179" s="228"/>
      <c r="C179" s="284"/>
      <c r="D179" s="285"/>
      <c r="E179" s="80" t="s">
        <v>102</v>
      </c>
      <c r="F179" s="59">
        <f>'Прил 7 Перечень мероприятий'!K80</f>
        <v>15</v>
      </c>
      <c r="G179" s="241"/>
    </row>
    <row r="180" spans="1:7" ht="12.75" customHeight="1" x14ac:dyDescent="0.2">
      <c r="A180" s="278" t="s">
        <v>258</v>
      </c>
      <c r="B180" s="228" t="s">
        <v>166</v>
      </c>
      <c r="C180" s="282" t="s">
        <v>192</v>
      </c>
      <c r="D180" s="283"/>
      <c r="E180" s="81" t="s">
        <v>53</v>
      </c>
      <c r="F180" s="193">
        <f>SUM(F181:F185)</f>
        <v>35</v>
      </c>
      <c r="G180" s="241"/>
    </row>
    <row r="181" spans="1:7" ht="12.75" customHeight="1" x14ac:dyDescent="0.2">
      <c r="A181" s="279"/>
      <c r="B181" s="228"/>
      <c r="C181" s="284"/>
      <c r="D181" s="285"/>
      <c r="E181" s="80" t="s">
        <v>4</v>
      </c>
      <c r="F181" s="59">
        <f>'Прил 7 Перечень мероприятий'!G82</f>
        <v>25</v>
      </c>
      <c r="G181" s="241"/>
    </row>
    <row r="182" spans="1:7" ht="12.75" customHeight="1" x14ac:dyDescent="0.2">
      <c r="A182" s="279"/>
      <c r="B182" s="228"/>
      <c r="C182" s="284"/>
      <c r="D182" s="285"/>
      <c r="E182" s="80" t="s">
        <v>52</v>
      </c>
      <c r="F182" s="59">
        <f>'Прил 7 Перечень мероприятий'!H82</f>
        <v>10</v>
      </c>
      <c r="G182" s="241"/>
    </row>
    <row r="183" spans="1:7" ht="12.75" customHeight="1" x14ac:dyDescent="0.2">
      <c r="A183" s="279"/>
      <c r="B183" s="228"/>
      <c r="C183" s="284"/>
      <c r="D183" s="285"/>
      <c r="E183" s="80" t="s">
        <v>100</v>
      </c>
      <c r="F183" s="59">
        <f>'Прил 7 Перечень мероприятий'!I82</f>
        <v>0</v>
      </c>
      <c r="G183" s="241"/>
    </row>
    <row r="184" spans="1:7" ht="12.75" customHeight="1" x14ac:dyDescent="0.2">
      <c r="A184" s="279"/>
      <c r="B184" s="228"/>
      <c r="C184" s="284"/>
      <c r="D184" s="285"/>
      <c r="E184" s="80" t="s">
        <v>101</v>
      </c>
      <c r="F184" s="59">
        <f>'Прил 7 Перечень мероприятий'!J82</f>
        <v>0</v>
      </c>
      <c r="G184" s="241"/>
    </row>
    <row r="185" spans="1:7" ht="12.75" customHeight="1" x14ac:dyDescent="0.2">
      <c r="A185" s="279"/>
      <c r="B185" s="228"/>
      <c r="C185" s="284"/>
      <c r="D185" s="285"/>
      <c r="E185" s="80" t="s">
        <v>102</v>
      </c>
      <c r="F185" s="59">
        <f>'Прил 7 Перечень мероприятий'!K82</f>
        <v>0</v>
      </c>
      <c r="G185" s="241"/>
    </row>
    <row r="186" spans="1:7" x14ac:dyDescent="0.2">
      <c r="A186" s="278" t="s">
        <v>178</v>
      </c>
      <c r="B186" s="228" t="s">
        <v>166</v>
      </c>
      <c r="C186" s="282" t="s">
        <v>300</v>
      </c>
      <c r="D186" s="283"/>
      <c r="E186" s="78" t="s">
        <v>53</v>
      </c>
      <c r="F186" s="193">
        <f>SUM(F187:F191)</f>
        <v>220.5</v>
      </c>
      <c r="G186" s="241"/>
    </row>
    <row r="187" spans="1:7" x14ac:dyDescent="0.2">
      <c r="A187" s="279"/>
      <c r="B187" s="228"/>
      <c r="C187" s="284"/>
      <c r="D187" s="285"/>
      <c r="E187" s="77" t="s">
        <v>4</v>
      </c>
      <c r="F187" s="59">
        <f>'Прил 7 Перечень мероприятий'!G84</f>
        <v>29.5</v>
      </c>
      <c r="G187" s="241"/>
    </row>
    <row r="188" spans="1:7" x14ac:dyDescent="0.2">
      <c r="A188" s="279"/>
      <c r="B188" s="228"/>
      <c r="C188" s="284"/>
      <c r="D188" s="285"/>
      <c r="E188" s="77" t="s">
        <v>52</v>
      </c>
      <c r="F188" s="59">
        <f>'Прил 7 Перечень мероприятий'!H84</f>
        <v>35</v>
      </c>
      <c r="G188" s="241"/>
    </row>
    <row r="189" spans="1:7" x14ac:dyDescent="0.2">
      <c r="A189" s="279"/>
      <c r="B189" s="228"/>
      <c r="C189" s="284"/>
      <c r="D189" s="285"/>
      <c r="E189" s="77" t="s">
        <v>100</v>
      </c>
      <c r="F189" s="59">
        <f>'Прил 7 Перечень мероприятий'!I84</f>
        <v>52</v>
      </c>
      <c r="G189" s="241"/>
    </row>
    <row r="190" spans="1:7" x14ac:dyDescent="0.2">
      <c r="A190" s="279"/>
      <c r="B190" s="228"/>
      <c r="C190" s="284"/>
      <c r="D190" s="285"/>
      <c r="E190" s="77" t="s">
        <v>101</v>
      </c>
      <c r="F190" s="59">
        <f>'Прил 7 Перечень мероприятий'!J84</f>
        <v>52</v>
      </c>
      <c r="G190" s="241"/>
    </row>
    <row r="191" spans="1:7" x14ac:dyDescent="0.2">
      <c r="A191" s="279"/>
      <c r="B191" s="228"/>
      <c r="C191" s="284"/>
      <c r="D191" s="285"/>
      <c r="E191" s="77" t="s">
        <v>102</v>
      </c>
      <c r="F191" s="59">
        <f>'Прил 7 Перечень мероприятий'!K84</f>
        <v>52</v>
      </c>
      <c r="G191" s="241"/>
    </row>
    <row r="192" spans="1:7" x14ac:dyDescent="0.2">
      <c r="A192" s="278" t="s">
        <v>270</v>
      </c>
      <c r="B192" s="228" t="s">
        <v>166</v>
      </c>
      <c r="C192" s="282" t="s">
        <v>384</v>
      </c>
      <c r="D192" s="283"/>
      <c r="E192" s="78" t="s">
        <v>53</v>
      </c>
      <c r="F192" s="193">
        <f>SUM(F193:F197)</f>
        <v>236</v>
      </c>
      <c r="G192" s="241"/>
    </row>
    <row r="193" spans="1:7" x14ac:dyDescent="0.2">
      <c r="A193" s="279"/>
      <c r="B193" s="228"/>
      <c r="C193" s="284"/>
      <c r="D193" s="285"/>
      <c r="E193" s="77" t="s">
        <v>4</v>
      </c>
      <c r="F193" s="59">
        <f>'Прил 7 Перечень мероприятий'!G86</f>
        <v>80</v>
      </c>
      <c r="G193" s="241"/>
    </row>
    <row r="194" spans="1:7" x14ac:dyDescent="0.2">
      <c r="A194" s="279"/>
      <c r="B194" s="228"/>
      <c r="C194" s="284"/>
      <c r="D194" s="285"/>
      <c r="E194" s="77" t="s">
        <v>52</v>
      </c>
      <c r="F194" s="59">
        <f>'Прил 7 Перечень мероприятий'!H86</f>
        <v>66</v>
      </c>
      <c r="G194" s="241"/>
    </row>
    <row r="195" spans="1:7" x14ac:dyDescent="0.2">
      <c r="A195" s="279"/>
      <c r="B195" s="228"/>
      <c r="C195" s="284"/>
      <c r="D195" s="285"/>
      <c r="E195" s="77" t="s">
        <v>100</v>
      </c>
      <c r="F195" s="59">
        <f>'Прил 7 Перечень мероприятий'!I86</f>
        <v>30</v>
      </c>
      <c r="G195" s="241"/>
    </row>
    <row r="196" spans="1:7" x14ac:dyDescent="0.2">
      <c r="A196" s="279"/>
      <c r="B196" s="228"/>
      <c r="C196" s="284"/>
      <c r="D196" s="285"/>
      <c r="E196" s="77" t="s">
        <v>101</v>
      </c>
      <c r="F196" s="59">
        <f>'Прил 7 Перечень мероприятий'!J86</f>
        <v>30</v>
      </c>
      <c r="G196" s="241"/>
    </row>
    <row r="197" spans="1:7" x14ac:dyDescent="0.2">
      <c r="A197" s="279"/>
      <c r="B197" s="228"/>
      <c r="C197" s="284"/>
      <c r="D197" s="285"/>
      <c r="E197" s="77" t="s">
        <v>102</v>
      </c>
      <c r="F197" s="59">
        <f>'Прил 7 Перечень мероприятий'!K86</f>
        <v>30</v>
      </c>
      <c r="G197" s="241"/>
    </row>
    <row r="198" spans="1:7" ht="24.75" customHeight="1" x14ac:dyDescent="0.2">
      <c r="A198" s="278" t="s">
        <v>259</v>
      </c>
      <c r="B198" s="228" t="s">
        <v>166</v>
      </c>
      <c r="C198" s="272" t="s">
        <v>389</v>
      </c>
      <c r="D198" s="273"/>
      <c r="E198" s="78" t="s">
        <v>53</v>
      </c>
      <c r="F198" s="193">
        <f>SUM(F199:F203)</f>
        <v>1689.2350000000001</v>
      </c>
      <c r="G198" s="241"/>
    </row>
    <row r="199" spans="1:7" ht="15.75" customHeight="1" x14ac:dyDescent="0.2">
      <c r="A199" s="279"/>
      <c r="B199" s="228"/>
      <c r="C199" s="274"/>
      <c r="D199" s="275"/>
      <c r="E199" s="77" t="s">
        <v>4</v>
      </c>
      <c r="F199" s="59">
        <f>'Прил 7 Перечень мероприятий'!G88</f>
        <v>1077.8679999999999</v>
      </c>
      <c r="G199" s="241"/>
    </row>
    <row r="200" spans="1:7" ht="15.75" customHeight="1" x14ac:dyDescent="0.2">
      <c r="A200" s="279"/>
      <c r="B200" s="228"/>
      <c r="C200" s="274"/>
      <c r="D200" s="275"/>
      <c r="E200" s="77" t="s">
        <v>52</v>
      </c>
      <c r="F200" s="59">
        <f>'Прил 7 Перечень мероприятий'!H88</f>
        <v>350.66699999999997</v>
      </c>
      <c r="G200" s="241"/>
    </row>
    <row r="201" spans="1:7" ht="15.75" customHeight="1" x14ac:dyDescent="0.2">
      <c r="A201" s="279"/>
      <c r="B201" s="228"/>
      <c r="C201" s="274"/>
      <c r="D201" s="275"/>
      <c r="E201" s="77" t="s">
        <v>100</v>
      </c>
      <c r="F201" s="59">
        <f>'Прил 7 Перечень мероприятий'!I88</f>
        <v>86.9</v>
      </c>
      <c r="G201" s="241"/>
    </row>
    <row r="202" spans="1:7" ht="15.75" customHeight="1" x14ac:dyDescent="0.2">
      <c r="A202" s="279"/>
      <c r="B202" s="228"/>
      <c r="C202" s="274"/>
      <c r="D202" s="275"/>
      <c r="E202" s="77" t="s">
        <v>101</v>
      </c>
      <c r="F202" s="59">
        <f>'Прил 7 Перечень мероприятий'!J88</f>
        <v>86.9</v>
      </c>
      <c r="G202" s="241"/>
    </row>
    <row r="203" spans="1:7" ht="15.75" customHeight="1" x14ac:dyDescent="0.2">
      <c r="A203" s="279"/>
      <c r="B203" s="228"/>
      <c r="C203" s="274"/>
      <c r="D203" s="275"/>
      <c r="E203" s="77" t="s">
        <v>102</v>
      </c>
      <c r="F203" s="59">
        <f>'Прил 7 Перечень мероприятий'!K88</f>
        <v>86.9</v>
      </c>
      <c r="G203" s="241"/>
    </row>
    <row r="204" spans="1:7" x14ac:dyDescent="0.2">
      <c r="A204" s="286" t="s">
        <v>260</v>
      </c>
      <c r="B204" s="228" t="s">
        <v>166</v>
      </c>
      <c r="C204" s="282" t="s">
        <v>232</v>
      </c>
      <c r="D204" s="283"/>
      <c r="E204" s="78" t="s">
        <v>53</v>
      </c>
      <c r="F204" s="193">
        <f>SUM(F205:F209)</f>
        <v>1684.01368</v>
      </c>
      <c r="G204" s="241"/>
    </row>
    <row r="205" spans="1:7" x14ac:dyDescent="0.2">
      <c r="A205" s="279"/>
      <c r="B205" s="228"/>
      <c r="C205" s="284"/>
      <c r="D205" s="285"/>
      <c r="E205" s="77" t="s">
        <v>4</v>
      </c>
      <c r="F205" s="59">
        <f>'Прил 7 Перечень мероприятий'!G90</f>
        <v>284.01367999999997</v>
      </c>
      <c r="G205" s="241"/>
    </row>
    <row r="206" spans="1:7" x14ac:dyDescent="0.2">
      <c r="A206" s="279"/>
      <c r="B206" s="228"/>
      <c r="C206" s="284"/>
      <c r="D206" s="285"/>
      <c r="E206" s="77" t="s">
        <v>52</v>
      </c>
      <c r="F206" s="59">
        <f>'Прил 7 Перечень мероприятий'!H90</f>
        <v>500</v>
      </c>
      <c r="G206" s="241"/>
    </row>
    <row r="207" spans="1:7" x14ac:dyDescent="0.2">
      <c r="A207" s="279"/>
      <c r="B207" s="228"/>
      <c r="C207" s="284"/>
      <c r="D207" s="285"/>
      <c r="E207" s="77" t="s">
        <v>100</v>
      </c>
      <c r="F207" s="59">
        <f>'Прил 7 Перечень мероприятий'!I90</f>
        <v>300</v>
      </c>
      <c r="G207" s="241"/>
    </row>
    <row r="208" spans="1:7" x14ac:dyDescent="0.2">
      <c r="A208" s="279"/>
      <c r="B208" s="228"/>
      <c r="C208" s="284"/>
      <c r="D208" s="285"/>
      <c r="E208" s="77" t="s">
        <v>101</v>
      </c>
      <c r="F208" s="59">
        <f>'Прил 7 Перечень мероприятий'!J90</f>
        <v>300</v>
      </c>
      <c r="G208" s="241"/>
    </row>
    <row r="209" spans="1:7" x14ac:dyDescent="0.2">
      <c r="A209" s="279"/>
      <c r="B209" s="228"/>
      <c r="C209" s="284"/>
      <c r="D209" s="285"/>
      <c r="E209" s="77" t="s">
        <v>102</v>
      </c>
      <c r="F209" s="59">
        <f>'Прил 7 Перечень мероприятий'!K90</f>
        <v>300</v>
      </c>
      <c r="G209" s="241"/>
    </row>
    <row r="210" spans="1:7" x14ac:dyDescent="0.2">
      <c r="A210" s="278" t="s">
        <v>179</v>
      </c>
      <c r="B210" s="228" t="s">
        <v>166</v>
      </c>
      <c r="C210" s="291" t="s">
        <v>348</v>
      </c>
      <c r="D210" s="292"/>
      <c r="E210" s="78" t="s">
        <v>53</v>
      </c>
      <c r="F210" s="193">
        <f>SUM(F211:F215)</f>
        <v>4049.5329999999999</v>
      </c>
      <c r="G210" s="241"/>
    </row>
    <row r="211" spans="1:7" x14ac:dyDescent="0.2">
      <c r="A211" s="279"/>
      <c r="B211" s="228"/>
      <c r="C211" s="293"/>
      <c r="D211" s="294"/>
      <c r="E211" s="77" t="s">
        <v>4</v>
      </c>
      <c r="F211" s="59">
        <f>'Прил 7 Перечень мероприятий'!G92</f>
        <v>180.6</v>
      </c>
      <c r="G211" s="241"/>
    </row>
    <row r="212" spans="1:7" x14ac:dyDescent="0.2">
      <c r="A212" s="279"/>
      <c r="B212" s="228"/>
      <c r="C212" s="293"/>
      <c r="D212" s="294"/>
      <c r="E212" s="77" t="s">
        <v>52</v>
      </c>
      <c r="F212" s="59">
        <f>'Прил 7 Перечень мероприятий'!H92</f>
        <v>2968.933</v>
      </c>
      <c r="G212" s="241"/>
    </row>
    <row r="213" spans="1:7" x14ac:dyDescent="0.2">
      <c r="A213" s="279"/>
      <c r="B213" s="228"/>
      <c r="C213" s="293"/>
      <c r="D213" s="294"/>
      <c r="E213" s="77" t="s">
        <v>100</v>
      </c>
      <c r="F213" s="59">
        <f>'Прил 7 Перечень мероприятий'!I92</f>
        <v>300</v>
      </c>
      <c r="G213" s="241"/>
    </row>
    <row r="214" spans="1:7" x14ac:dyDescent="0.2">
      <c r="A214" s="279"/>
      <c r="B214" s="228"/>
      <c r="C214" s="293"/>
      <c r="D214" s="294"/>
      <c r="E214" s="77" t="s">
        <v>101</v>
      </c>
      <c r="F214" s="59">
        <f>'Прил 7 Перечень мероприятий'!J92</f>
        <v>300</v>
      </c>
      <c r="G214" s="241"/>
    </row>
    <row r="215" spans="1:7" x14ac:dyDescent="0.2">
      <c r="A215" s="279"/>
      <c r="B215" s="229"/>
      <c r="C215" s="293"/>
      <c r="D215" s="294"/>
      <c r="E215" s="89" t="s">
        <v>102</v>
      </c>
      <c r="F215" s="194">
        <f>'Прил 7 Перечень мероприятий'!K92</f>
        <v>300</v>
      </c>
      <c r="G215" s="241"/>
    </row>
    <row r="216" spans="1:7" x14ac:dyDescent="0.2">
      <c r="A216" s="258" t="s">
        <v>261</v>
      </c>
      <c r="B216" s="261" t="s">
        <v>166</v>
      </c>
      <c r="C216" s="90"/>
      <c r="D216" s="268" t="s">
        <v>379</v>
      </c>
      <c r="E216" s="79" t="s">
        <v>53</v>
      </c>
      <c r="F216" s="191">
        <f>SUM(F217:F221)</f>
        <v>984</v>
      </c>
      <c r="G216" s="261"/>
    </row>
    <row r="217" spans="1:7" x14ac:dyDescent="0.2">
      <c r="A217" s="266"/>
      <c r="B217" s="264"/>
      <c r="C217" s="90"/>
      <c r="D217" s="269"/>
      <c r="E217" s="66" t="s">
        <v>4</v>
      </c>
      <c r="F217" s="195">
        <f>'Прил 7 Перечень мероприятий'!G94</f>
        <v>180</v>
      </c>
      <c r="G217" s="264"/>
    </row>
    <row r="218" spans="1:7" x14ac:dyDescent="0.2">
      <c r="A218" s="266"/>
      <c r="B218" s="264"/>
      <c r="C218" s="90"/>
      <c r="D218" s="269"/>
      <c r="E218" s="66" t="s">
        <v>52</v>
      </c>
      <c r="F218" s="195">
        <f>'Прил 7 Перечень мероприятий'!H94</f>
        <v>204</v>
      </c>
      <c r="G218" s="264"/>
    </row>
    <row r="219" spans="1:7" x14ac:dyDescent="0.2">
      <c r="A219" s="266"/>
      <c r="B219" s="264"/>
      <c r="C219" s="90"/>
      <c r="D219" s="269"/>
      <c r="E219" s="66" t="s">
        <v>100</v>
      </c>
      <c r="F219" s="195">
        <f>'Прил 7 Перечень мероприятий'!I94</f>
        <v>200</v>
      </c>
      <c r="G219" s="264"/>
    </row>
    <row r="220" spans="1:7" x14ac:dyDescent="0.2">
      <c r="A220" s="266"/>
      <c r="B220" s="264"/>
      <c r="C220" s="90"/>
      <c r="D220" s="269"/>
      <c r="E220" s="66" t="s">
        <v>101</v>
      </c>
      <c r="F220" s="195">
        <f>'Прил 7 Перечень мероприятий'!J94</f>
        <v>200</v>
      </c>
      <c r="G220" s="264"/>
    </row>
    <row r="221" spans="1:7" x14ac:dyDescent="0.2">
      <c r="A221" s="267"/>
      <c r="B221" s="265"/>
      <c r="C221" s="90"/>
      <c r="D221" s="270"/>
      <c r="E221" s="91" t="s">
        <v>102</v>
      </c>
      <c r="F221" s="195">
        <f>'Прил 7 Перечень мероприятий'!K94</f>
        <v>200</v>
      </c>
      <c r="G221" s="265"/>
    </row>
    <row r="222" spans="1:7" x14ac:dyDescent="0.2">
      <c r="A222" s="258" t="s">
        <v>200</v>
      </c>
      <c r="B222" s="261" t="s">
        <v>166</v>
      </c>
      <c r="C222" s="90"/>
      <c r="D222" s="268" t="s">
        <v>205</v>
      </c>
      <c r="E222" s="79" t="s">
        <v>53</v>
      </c>
      <c r="F222" s="191">
        <f>SUM(F223:F227)</f>
        <v>291.44900000000001</v>
      </c>
      <c r="G222" s="261"/>
    </row>
    <row r="223" spans="1:7" x14ac:dyDescent="0.2">
      <c r="A223" s="266"/>
      <c r="B223" s="264"/>
      <c r="C223" s="90"/>
      <c r="D223" s="269"/>
      <c r="E223" s="66" t="s">
        <v>4</v>
      </c>
      <c r="F223" s="195">
        <f>'Прил 7 Перечень мероприятий'!G96</f>
        <v>291.44900000000001</v>
      </c>
      <c r="G223" s="264"/>
    </row>
    <row r="224" spans="1:7" x14ac:dyDescent="0.2">
      <c r="A224" s="266"/>
      <c r="B224" s="264"/>
      <c r="C224" s="90"/>
      <c r="D224" s="269"/>
      <c r="E224" s="66" t="s">
        <v>52</v>
      </c>
      <c r="F224" s="195">
        <f>'Прил 7 Перечень мероприятий'!H96</f>
        <v>0</v>
      </c>
      <c r="G224" s="264"/>
    </row>
    <row r="225" spans="1:7" x14ac:dyDescent="0.2">
      <c r="A225" s="266"/>
      <c r="B225" s="264"/>
      <c r="C225" s="90"/>
      <c r="D225" s="269"/>
      <c r="E225" s="66" t="s">
        <v>100</v>
      </c>
      <c r="F225" s="195">
        <f>'Прил 7 Перечень мероприятий'!I96</f>
        <v>0</v>
      </c>
      <c r="G225" s="264"/>
    </row>
    <row r="226" spans="1:7" x14ac:dyDescent="0.2">
      <c r="A226" s="266"/>
      <c r="B226" s="264"/>
      <c r="C226" s="90"/>
      <c r="D226" s="269"/>
      <c r="E226" s="66" t="s">
        <v>101</v>
      </c>
      <c r="F226" s="195">
        <f>'Прил 7 Перечень мероприятий'!J96</f>
        <v>0</v>
      </c>
      <c r="G226" s="264"/>
    </row>
    <row r="227" spans="1:7" x14ac:dyDescent="0.2">
      <c r="A227" s="267"/>
      <c r="B227" s="265"/>
      <c r="C227" s="90"/>
      <c r="D227" s="270"/>
      <c r="E227" s="91" t="s">
        <v>102</v>
      </c>
      <c r="F227" s="195">
        <f>'Прил 7 Перечень мероприятий'!K96</f>
        <v>0</v>
      </c>
      <c r="G227" s="265"/>
    </row>
    <row r="228" spans="1:7" x14ac:dyDescent="0.2">
      <c r="A228" s="258" t="s">
        <v>203</v>
      </c>
      <c r="B228" s="261" t="s">
        <v>166</v>
      </c>
      <c r="C228" s="90"/>
      <c r="D228" s="268" t="s">
        <v>207</v>
      </c>
      <c r="E228" s="79" t="s">
        <v>53</v>
      </c>
      <c r="F228" s="191">
        <f>SUM(F229:F233)</f>
        <v>150.03200000000001</v>
      </c>
      <c r="G228" s="261"/>
    </row>
    <row r="229" spans="1:7" x14ac:dyDescent="0.2">
      <c r="A229" s="266"/>
      <c r="B229" s="264"/>
      <c r="C229" s="90"/>
      <c r="D229" s="269"/>
      <c r="E229" s="66" t="s">
        <v>4</v>
      </c>
      <c r="F229" s="195">
        <f>'Прил 7 Перечень мероприятий'!G98</f>
        <v>10.032</v>
      </c>
      <c r="G229" s="264"/>
    </row>
    <row r="230" spans="1:7" x14ac:dyDescent="0.2">
      <c r="A230" s="266"/>
      <c r="B230" s="264"/>
      <c r="C230" s="90"/>
      <c r="D230" s="269"/>
      <c r="E230" s="66" t="s">
        <v>52</v>
      </c>
      <c r="F230" s="195">
        <f>'Прил 7 Перечень мероприятий'!H98</f>
        <v>140</v>
      </c>
      <c r="G230" s="264"/>
    </row>
    <row r="231" spans="1:7" x14ac:dyDescent="0.2">
      <c r="A231" s="266"/>
      <c r="B231" s="264"/>
      <c r="C231" s="90"/>
      <c r="D231" s="269"/>
      <c r="E231" s="66" t="s">
        <v>100</v>
      </c>
      <c r="F231" s="195">
        <f>'Прил 7 Перечень мероприятий'!I98</f>
        <v>0</v>
      </c>
      <c r="G231" s="264"/>
    </row>
    <row r="232" spans="1:7" x14ac:dyDescent="0.2">
      <c r="A232" s="266"/>
      <c r="B232" s="264"/>
      <c r="C232" s="90"/>
      <c r="D232" s="269"/>
      <c r="E232" s="66" t="s">
        <v>101</v>
      </c>
      <c r="F232" s="195">
        <f>'Прил 7 Перечень мероприятий'!J98</f>
        <v>0</v>
      </c>
      <c r="G232" s="264"/>
    </row>
    <row r="233" spans="1:7" x14ac:dyDescent="0.2">
      <c r="A233" s="267"/>
      <c r="B233" s="265"/>
      <c r="C233" s="90"/>
      <c r="D233" s="270"/>
      <c r="E233" s="91" t="s">
        <v>102</v>
      </c>
      <c r="F233" s="195">
        <f>'Прил 7 Перечень мероприятий'!K98</f>
        <v>0</v>
      </c>
      <c r="G233" s="265"/>
    </row>
    <row r="234" spans="1:7" x14ac:dyDescent="0.2">
      <c r="A234" s="258" t="s">
        <v>204</v>
      </c>
      <c r="B234" s="261" t="s">
        <v>166</v>
      </c>
      <c r="C234" s="101"/>
      <c r="D234" s="268" t="s">
        <v>206</v>
      </c>
      <c r="E234" s="105" t="s">
        <v>53</v>
      </c>
      <c r="F234" s="191">
        <f>SUM(F235:F239)</f>
        <v>90</v>
      </c>
      <c r="G234" s="261"/>
    </row>
    <row r="235" spans="1:7" x14ac:dyDescent="0.2">
      <c r="A235" s="266"/>
      <c r="B235" s="264"/>
      <c r="C235" s="101"/>
      <c r="D235" s="269"/>
      <c r="E235" s="102" t="s">
        <v>4</v>
      </c>
      <c r="F235" s="195">
        <f>'Прил 7 Перечень мероприятий'!G100</f>
        <v>90</v>
      </c>
      <c r="G235" s="264"/>
    </row>
    <row r="236" spans="1:7" x14ac:dyDescent="0.2">
      <c r="A236" s="266"/>
      <c r="B236" s="264"/>
      <c r="C236" s="101"/>
      <c r="D236" s="269"/>
      <c r="E236" s="102" t="s">
        <v>52</v>
      </c>
      <c r="F236" s="195">
        <f>'Прил 7 Перечень мероприятий'!H100</f>
        <v>0</v>
      </c>
      <c r="G236" s="264"/>
    </row>
    <row r="237" spans="1:7" x14ac:dyDescent="0.2">
      <c r="A237" s="266"/>
      <c r="B237" s="264"/>
      <c r="C237" s="101"/>
      <c r="D237" s="269"/>
      <c r="E237" s="102" t="s">
        <v>100</v>
      </c>
      <c r="F237" s="195">
        <f>'Прил 7 Перечень мероприятий'!I100</f>
        <v>0</v>
      </c>
      <c r="G237" s="264"/>
    </row>
    <row r="238" spans="1:7" x14ac:dyDescent="0.2">
      <c r="A238" s="266"/>
      <c r="B238" s="264"/>
      <c r="C238" s="101"/>
      <c r="D238" s="269"/>
      <c r="E238" s="102" t="s">
        <v>101</v>
      </c>
      <c r="F238" s="195">
        <f>'Прил 7 Перечень мероприятий'!J100</f>
        <v>0</v>
      </c>
      <c r="G238" s="264"/>
    </row>
    <row r="239" spans="1:7" x14ac:dyDescent="0.2">
      <c r="A239" s="267"/>
      <c r="B239" s="265"/>
      <c r="C239" s="101"/>
      <c r="D239" s="270"/>
      <c r="E239" s="103" t="s">
        <v>102</v>
      </c>
      <c r="F239" s="195">
        <f>'Прил 7 Перечень мероприятий'!K100</f>
        <v>0</v>
      </c>
      <c r="G239" s="265"/>
    </row>
    <row r="240" spans="1:7" ht="10.5" customHeight="1" x14ac:dyDescent="0.2">
      <c r="A240" s="313" t="s">
        <v>275</v>
      </c>
      <c r="B240" s="277" t="s">
        <v>166</v>
      </c>
      <c r="C240" s="110"/>
      <c r="D240" s="287" t="s">
        <v>291</v>
      </c>
      <c r="E240" s="151" t="s">
        <v>53</v>
      </c>
      <c r="F240" s="196">
        <f>SUM(F241:F245)</f>
        <v>2499.5902700000001</v>
      </c>
      <c r="G240" s="261"/>
    </row>
    <row r="241" spans="1:7" ht="10.5" customHeight="1" x14ac:dyDescent="0.2">
      <c r="A241" s="333"/>
      <c r="B241" s="335"/>
      <c r="C241" s="110"/>
      <c r="D241" s="288"/>
      <c r="E241" s="149" t="s">
        <v>4</v>
      </c>
      <c r="F241" s="197">
        <f>'Прил 7 Перечень мероприятий'!G102</f>
        <v>2499.5902700000001</v>
      </c>
      <c r="G241" s="264"/>
    </row>
    <row r="242" spans="1:7" ht="10.5" customHeight="1" x14ac:dyDescent="0.2">
      <c r="A242" s="333"/>
      <c r="B242" s="335"/>
      <c r="C242" s="110"/>
      <c r="D242" s="288"/>
      <c r="E242" s="149" t="s">
        <v>52</v>
      </c>
      <c r="F242" s="197">
        <f>'Прил 7 Перечень мероприятий'!H102</f>
        <v>0</v>
      </c>
      <c r="G242" s="264"/>
    </row>
    <row r="243" spans="1:7" ht="10.5" customHeight="1" x14ac:dyDescent="0.2">
      <c r="A243" s="333"/>
      <c r="B243" s="335"/>
      <c r="C243" s="110"/>
      <c r="D243" s="288"/>
      <c r="E243" s="149" t="s">
        <v>100</v>
      </c>
      <c r="F243" s="197">
        <f>'Прил 7 Перечень мероприятий'!I98</f>
        <v>0</v>
      </c>
      <c r="G243" s="264"/>
    </row>
    <row r="244" spans="1:7" ht="10.5" customHeight="1" x14ac:dyDescent="0.2">
      <c r="A244" s="333"/>
      <c r="B244" s="335"/>
      <c r="C244" s="110"/>
      <c r="D244" s="288"/>
      <c r="E244" s="149" t="s">
        <v>101</v>
      </c>
      <c r="F244" s="197">
        <f>'Прил 7 Перечень мероприятий'!J98</f>
        <v>0</v>
      </c>
      <c r="G244" s="264"/>
    </row>
    <row r="245" spans="1:7" ht="10.5" customHeight="1" x14ac:dyDescent="0.2">
      <c r="A245" s="334"/>
      <c r="B245" s="336"/>
      <c r="C245" s="110"/>
      <c r="D245" s="289"/>
      <c r="E245" s="148" t="s">
        <v>102</v>
      </c>
      <c r="F245" s="197">
        <f>'Прил 7 Перечень мероприятий'!K98</f>
        <v>0</v>
      </c>
      <c r="G245" s="265"/>
    </row>
    <row r="246" spans="1:7" ht="11.25" customHeight="1" x14ac:dyDescent="0.2">
      <c r="A246" s="313" t="s">
        <v>376</v>
      </c>
      <c r="B246" s="277" t="s">
        <v>166</v>
      </c>
      <c r="C246" s="110"/>
      <c r="D246" s="287" t="s">
        <v>377</v>
      </c>
      <c r="E246" s="172" t="s">
        <v>53</v>
      </c>
      <c r="F246" s="196">
        <f>SUM(F247:F251)</f>
        <v>90</v>
      </c>
      <c r="G246" s="261"/>
    </row>
    <row r="247" spans="1:7" ht="12" customHeight="1" x14ac:dyDescent="0.2">
      <c r="A247" s="333"/>
      <c r="B247" s="335"/>
      <c r="C247" s="110"/>
      <c r="D247" s="288"/>
      <c r="E247" s="169" t="s">
        <v>4</v>
      </c>
      <c r="F247" s="197">
        <f>'Прил 7 Перечень мероприятий'!G100</f>
        <v>90</v>
      </c>
      <c r="G247" s="264"/>
    </row>
    <row r="248" spans="1:7" ht="12" customHeight="1" x14ac:dyDescent="0.2">
      <c r="A248" s="333"/>
      <c r="B248" s="335"/>
      <c r="C248" s="110"/>
      <c r="D248" s="288"/>
      <c r="E248" s="169" t="s">
        <v>52</v>
      </c>
      <c r="F248" s="197">
        <f>'Прил 7 Перечень мероприятий'!H100</f>
        <v>0</v>
      </c>
      <c r="G248" s="264"/>
    </row>
    <row r="249" spans="1:7" ht="12" customHeight="1" x14ac:dyDescent="0.2">
      <c r="A249" s="333"/>
      <c r="B249" s="335"/>
      <c r="C249" s="110"/>
      <c r="D249" s="288"/>
      <c r="E249" s="169" t="s">
        <v>100</v>
      </c>
      <c r="F249" s="197">
        <f>'Прил 7 Перечень мероприятий'!I100</f>
        <v>0</v>
      </c>
      <c r="G249" s="264"/>
    </row>
    <row r="250" spans="1:7" ht="12" customHeight="1" x14ac:dyDescent="0.2">
      <c r="A250" s="333"/>
      <c r="B250" s="335"/>
      <c r="C250" s="110"/>
      <c r="D250" s="288"/>
      <c r="E250" s="169" t="s">
        <v>101</v>
      </c>
      <c r="F250" s="197">
        <f>'Прил 7 Перечень мероприятий'!J100</f>
        <v>0</v>
      </c>
      <c r="G250" s="264"/>
    </row>
    <row r="251" spans="1:7" ht="12" customHeight="1" x14ac:dyDescent="0.2">
      <c r="A251" s="334"/>
      <c r="B251" s="336"/>
      <c r="C251" s="110"/>
      <c r="D251" s="289"/>
      <c r="E251" s="167" t="s">
        <v>102</v>
      </c>
      <c r="F251" s="197">
        <f>'Прил 7 Перечень мероприятий'!K100</f>
        <v>0</v>
      </c>
      <c r="G251" s="265"/>
    </row>
    <row r="252" spans="1:7" ht="11.25" customHeight="1" x14ac:dyDescent="0.2">
      <c r="A252" s="313" t="s">
        <v>401</v>
      </c>
      <c r="B252" s="277" t="s">
        <v>166</v>
      </c>
      <c r="C252" s="110"/>
      <c r="D252" s="287" t="s">
        <v>402</v>
      </c>
      <c r="E252" s="79" t="s">
        <v>53</v>
      </c>
      <c r="F252" s="196">
        <f>SUM(F253:F257)</f>
        <v>0</v>
      </c>
      <c r="G252" s="261"/>
    </row>
    <row r="253" spans="1:7" ht="12" customHeight="1" x14ac:dyDescent="0.2">
      <c r="A253" s="333"/>
      <c r="B253" s="335"/>
      <c r="C253" s="110"/>
      <c r="D253" s="288"/>
      <c r="E253" s="66" t="s">
        <v>4</v>
      </c>
      <c r="F253" s="197">
        <f>'Прил 7 Перечень мероприятий'!G106</f>
        <v>0</v>
      </c>
      <c r="G253" s="264"/>
    </row>
    <row r="254" spans="1:7" ht="12" customHeight="1" x14ac:dyDescent="0.2">
      <c r="A254" s="333"/>
      <c r="B254" s="335"/>
      <c r="C254" s="110"/>
      <c r="D254" s="288"/>
      <c r="E254" s="66" t="s">
        <v>52</v>
      </c>
      <c r="F254" s="197">
        <f>'Прил 7 Перечень мероприятий'!H106</f>
        <v>0</v>
      </c>
      <c r="G254" s="264"/>
    </row>
    <row r="255" spans="1:7" ht="12" customHeight="1" x14ac:dyDescent="0.2">
      <c r="A255" s="333"/>
      <c r="B255" s="335"/>
      <c r="C255" s="110"/>
      <c r="D255" s="288"/>
      <c r="E255" s="66" t="s">
        <v>100</v>
      </c>
      <c r="F255" s="197">
        <f>'Прил 7 Перечень мероприятий'!I106</f>
        <v>0</v>
      </c>
      <c r="G255" s="264"/>
    </row>
    <row r="256" spans="1:7" ht="12" customHeight="1" x14ac:dyDescent="0.2">
      <c r="A256" s="333"/>
      <c r="B256" s="335"/>
      <c r="C256" s="110"/>
      <c r="D256" s="288"/>
      <c r="E256" s="66" t="s">
        <v>101</v>
      </c>
      <c r="F256" s="197">
        <f>'Прил 7 Перечень мероприятий'!J106</f>
        <v>0</v>
      </c>
      <c r="G256" s="264"/>
    </row>
    <row r="257" spans="1:9" ht="12" customHeight="1" x14ac:dyDescent="0.2">
      <c r="A257" s="334"/>
      <c r="B257" s="336"/>
      <c r="C257" s="110"/>
      <c r="D257" s="289"/>
      <c r="E257" s="91" t="s">
        <v>102</v>
      </c>
      <c r="F257" s="197">
        <f>'Прил 7 Перечень мероприятий'!K106</f>
        <v>0</v>
      </c>
      <c r="G257" s="265"/>
    </row>
    <row r="258" spans="1:9" ht="21.75" customHeight="1" x14ac:dyDescent="0.2">
      <c r="A258" s="326" t="s">
        <v>103</v>
      </c>
      <c r="B258" s="327"/>
      <c r="C258" s="327"/>
      <c r="D258" s="327"/>
      <c r="E258" s="327"/>
      <c r="F258" s="327"/>
      <c r="G258" s="328"/>
      <c r="I258" s="189">
        <f>F264+F270+F276+F282+F288+F294+F300+F306+F312+F318</f>
        <v>38102.726560000003</v>
      </c>
    </row>
    <row r="259" spans="1:9" x14ac:dyDescent="0.2">
      <c r="A259" s="320" t="s">
        <v>157</v>
      </c>
      <c r="B259" s="321"/>
      <c r="C259" s="271"/>
      <c r="D259" s="271"/>
      <c r="E259" s="309"/>
      <c r="F259" s="324"/>
      <c r="G259" s="241"/>
    </row>
    <row r="260" spans="1:9" x14ac:dyDescent="0.2">
      <c r="A260" s="322"/>
      <c r="B260" s="323"/>
      <c r="C260" s="271"/>
      <c r="D260" s="271"/>
      <c r="E260" s="310"/>
      <c r="F260" s="325"/>
      <c r="G260" s="241"/>
    </row>
    <row r="261" spans="1:9" x14ac:dyDescent="0.2">
      <c r="A261" s="322"/>
      <c r="B261" s="323"/>
      <c r="C261" s="271"/>
      <c r="D261" s="271"/>
      <c r="E261" s="310"/>
      <c r="F261" s="325"/>
      <c r="G261" s="241"/>
    </row>
    <row r="262" spans="1:9" x14ac:dyDescent="0.2">
      <c r="A262" s="322"/>
      <c r="B262" s="323"/>
      <c r="C262" s="271"/>
      <c r="D262" s="271"/>
      <c r="E262" s="310"/>
      <c r="F262" s="325"/>
      <c r="G262" s="241"/>
    </row>
    <row r="263" spans="1:9" ht="2.25" customHeight="1" x14ac:dyDescent="0.2">
      <c r="A263" s="322"/>
      <c r="B263" s="323"/>
      <c r="C263" s="271"/>
      <c r="D263" s="271"/>
      <c r="E263" s="310"/>
      <c r="F263" s="325"/>
      <c r="G263" s="241"/>
    </row>
    <row r="264" spans="1:9" x14ac:dyDescent="0.2">
      <c r="A264" s="286" t="s">
        <v>236</v>
      </c>
      <c r="B264" s="228" t="s">
        <v>166</v>
      </c>
      <c r="C264" s="282" t="s">
        <v>269</v>
      </c>
      <c r="D264" s="283"/>
      <c r="E264" s="83" t="s">
        <v>53</v>
      </c>
      <c r="F264" s="193">
        <f>SUM(F265:F269)</f>
        <v>32265.3</v>
      </c>
      <c r="G264" s="241"/>
    </row>
    <row r="265" spans="1:9" x14ac:dyDescent="0.2">
      <c r="A265" s="279"/>
      <c r="B265" s="228"/>
      <c r="C265" s="284"/>
      <c r="D265" s="285"/>
      <c r="E265" s="82" t="s">
        <v>4</v>
      </c>
      <c r="F265" s="59">
        <f>'Прил 7 Перечень мероприятий'!G115</f>
        <v>6220.1</v>
      </c>
      <c r="G265" s="241"/>
    </row>
    <row r="266" spans="1:9" x14ac:dyDescent="0.2">
      <c r="A266" s="279"/>
      <c r="B266" s="228"/>
      <c r="C266" s="284"/>
      <c r="D266" s="285"/>
      <c r="E266" s="82" t="s">
        <v>52</v>
      </c>
      <c r="F266" s="59">
        <f>'Прил 7 Перечень мероприятий'!H115</f>
        <v>6511.3</v>
      </c>
      <c r="G266" s="241"/>
    </row>
    <row r="267" spans="1:9" x14ac:dyDescent="0.2">
      <c r="A267" s="279"/>
      <c r="B267" s="228"/>
      <c r="C267" s="284"/>
      <c r="D267" s="285"/>
      <c r="E267" s="82" t="s">
        <v>100</v>
      </c>
      <c r="F267" s="59">
        <f>'Прил 7 Перечень мероприятий'!I115</f>
        <v>6511.3</v>
      </c>
      <c r="G267" s="241"/>
    </row>
    <row r="268" spans="1:9" x14ac:dyDescent="0.2">
      <c r="A268" s="279"/>
      <c r="B268" s="228"/>
      <c r="C268" s="284"/>
      <c r="D268" s="285"/>
      <c r="E268" s="82" t="s">
        <v>101</v>
      </c>
      <c r="F268" s="59">
        <f>'Прил 7 Перечень мероприятий'!J115</f>
        <v>6511.3</v>
      </c>
      <c r="G268" s="241"/>
    </row>
    <row r="269" spans="1:9" x14ac:dyDescent="0.2">
      <c r="A269" s="279"/>
      <c r="B269" s="228"/>
      <c r="C269" s="284"/>
      <c r="D269" s="285"/>
      <c r="E269" s="82" t="s">
        <v>102</v>
      </c>
      <c r="F269" s="59">
        <f>'Прил 7 Перечень мероприятий'!K115</f>
        <v>6511.3</v>
      </c>
      <c r="G269" s="241"/>
    </row>
    <row r="270" spans="1:9" x14ac:dyDescent="0.2">
      <c r="A270" s="278" t="s">
        <v>254</v>
      </c>
      <c r="B270" s="228" t="s">
        <v>166</v>
      </c>
      <c r="C270" s="282" t="s">
        <v>193</v>
      </c>
      <c r="D270" s="283"/>
      <c r="E270" s="83" t="s">
        <v>53</v>
      </c>
      <c r="F270" s="193">
        <f>SUM(F271:F275)</f>
        <v>1383.6</v>
      </c>
      <c r="G270" s="241"/>
    </row>
    <row r="271" spans="1:9" x14ac:dyDescent="0.2">
      <c r="A271" s="279"/>
      <c r="B271" s="228"/>
      <c r="C271" s="284"/>
      <c r="D271" s="285"/>
      <c r="E271" s="82" t="s">
        <v>4</v>
      </c>
      <c r="F271" s="59">
        <f>'Прил 7 Перечень мероприятий'!G117</f>
        <v>280</v>
      </c>
      <c r="G271" s="241"/>
    </row>
    <row r="272" spans="1:9" x14ac:dyDescent="0.2">
      <c r="A272" s="279"/>
      <c r="B272" s="228"/>
      <c r="C272" s="284"/>
      <c r="D272" s="285"/>
      <c r="E272" s="82" t="s">
        <v>52</v>
      </c>
      <c r="F272" s="59">
        <f>'Прил 7 Перечень мероприятий'!H117</f>
        <v>270.5</v>
      </c>
      <c r="G272" s="241"/>
    </row>
    <row r="273" spans="1:7" x14ac:dyDescent="0.2">
      <c r="A273" s="279"/>
      <c r="B273" s="228"/>
      <c r="C273" s="284"/>
      <c r="D273" s="285"/>
      <c r="E273" s="82" t="s">
        <v>100</v>
      </c>
      <c r="F273" s="59">
        <f>'Прил 7 Перечень мероприятий'!I117</f>
        <v>270.5</v>
      </c>
      <c r="G273" s="241"/>
    </row>
    <row r="274" spans="1:7" x14ac:dyDescent="0.2">
      <c r="A274" s="279"/>
      <c r="B274" s="228"/>
      <c r="C274" s="284"/>
      <c r="D274" s="285"/>
      <c r="E274" s="82" t="s">
        <v>101</v>
      </c>
      <c r="F274" s="59">
        <f>'Прил 7 Перечень мероприятий'!J117</f>
        <v>281.3</v>
      </c>
      <c r="G274" s="241"/>
    </row>
    <row r="275" spans="1:7" x14ac:dyDescent="0.2">
      <c r="A275" s="279"/>
      <c r="B275" s="228"/>
      <c r="C275" s="284"/>
      <c r="D275" s="285"/>
      <c r="E275" s="82" t="s">
        <v>102</v>
      </c>
      <c r="F275" s="59">
        <f>'Прил 7 Перечень мероприятий'!K117</f>
        <v>281.3</v>
      </c>
      <c r="G275" s="241"/>
    </row>
    <row r="276" spans="1:7" ht="12" customHeight="1" x14ac:dyDescent="0.2">
      <c r="A276" s="278" t="s">
        <v>262</v>
      </c>
      <c r="B276" s="228" t="s">
        <v>166</v>
      </c>
      <c r="C276" s="282" t="s">
        <v>362</v>
      </c>
      <c r="D276" s="283"/>
      <c r="E276" s="83" t="s">
        <v>53</v>
      </c>
      <c r="F276" s="193">
        <f>SUM(F277:F281)</f>
        <v>793.11655999999994</v>
      </c>
      <c r="G276" s="241"/>
    </row>
    <row r="277" spans="1:7" ht="12" customHeight="1" x14ac:dyDescent="0.2">
      <c r="A277" s="279"/>
      <c r="B277" s="228"/>
      <c r="C277" s="284"/>
      <c r="D277" s="285"/>
      <c r="E277" s="82" t="s">
        <v>4</v>
      </c>
      <c r="F277" s="59">
        <f>'Прил 7 Перечень мероприятий'!G119</f>
        <v>47.11656</v>
      </c>
      <c r="G277" s="241"/>
    </row>
    <row r="278" spans="1:7" ht="12" customHeight="1" x14ac:dyDescent="0.2">
      <c r="A278" s="279"/>
      <c r="B278" s="228"/>
      <c r="C278" s="284"/>
      <c r="D278" s="285"/>
      <c r="E278" s="82" t="s">
        <v>52</v>
      </c>
      <c r="F278" s="59">
        <f>'Прил 7 Перечень мероприятий'!H119</f>
        <v>146</v>
      </c>
      <c r="G278" s="241"/>
    </row>
    <row r="279" spans="1:7" ht="12" customHeight="1" x14ac:dyDescent="0.2">
      <c r="A279" s="279"/>
      <c r="B279" s="228"/>
      <c r="C279" s="284"/>
      <c r="D279" s="285"/>
      <c r="E279" s="82" t="s">
        <v>100</v>
      </c>
      <c r="F279" s="59">
        <f>'Прил 7 Перечень мероприятий'!I119</f>
        <v>200</v>
      </c>
      <c r="G279" s="241"/>
    </row>
    <row r="280" spans="1:7" ht="12" customHeight="1" x14ac:dyDescent="0.2">
      <c r="A280" s="279"/>
      <c r="B280" s="228"/>
      <c r="C280" s="284"/>
      <c r="D280" s="285"/>
      <c r="E280" s="82" t="s">
        <v>101</v>
      </c>
      <c r="F280" s="59">
        <f>'Прил 7 Перечень мероприятий'!J119</f>
        <v>200</v>
      </c>
      <c r="G280" s="241"/>
    </row>
    <row r="281" spans="1:7" ht="12" customHeight="1" x14ac:dyDescent="0.2">
      <c r="A281" s="279"/>
      <c r="B281" s="228"/>
      <c r="C281" s="284"/>
      <c r="D281" s="285"/>
      <c r="E281" s="82" t="s">
        <v>102</v>
      </c>
      <c r="F281" s="59">
        <f>'Прил 7 Перечень мероприятий'!K119</f>
        <v>200</v>
      </c>
      <c r="G281" s="241"/>
    </row>
    <row r="282" spans="1:7" ht="12" customHeight="1" x14ac:dyDescent="0.2">
      <c r="A282" s="278" t="s">
        <v>263</v>
      </c>
      <c r="B282" s="228" t="s">
        <v>166</v>
      </c>
      <c r="C282" s="282" t="s">
        <v>363</v>
      </c>
      <c r="D282" s="283"/>
      <c r="E282" s="83" t="s">
        <v>53</v>
      </c>
      <c r="F282" s="193">
        <f>SUM(F283:F287)</f>
        <v>25</v>
      </c>
      <c r="G282" s="241"/>
    </row>
    <row r="283" spans="1:7" ht="12" customHeight="1" x14ac:dyDescent="0.2">
      <c r="A283" s="279"/>
      <c r="B283" s="228"/>
      <c r="C283" s="284"/>
      <c r="D283" s="285"/>
      <c r="E283" s="82" t="s">
        <v>4</v>
      </c>
      <c r="F283" s="59">
        <f>'Прил 7 Перечень мероприятий'!G121</f>
        <v>5</v>
      </c>
      <c r="G283" s="241"/>
    </row>
    <row r="284" spans="1:7" ht="12" customHeight="1" x14ac:dyDescent="0.2">
      <c r="A284" s="279"/>
      <c r="B284" s="228"/>
      <c r="C284" s="284"/>
      <c r="D284" s="285"/>
      <c r="E284" s="82" t="s">
        <v>52</v>
      </c>
      <c r="F284" s="59">
        <f>'Прил 7 Перечень мероприятий'!H121</f>
        <v>5</v>
      </c>
      <c r="G284" s="241"/>
    </row>
    <row r="285" spans="1:7" ht="12" customHeight="1" x14ac:dyDescent="0.2">
      <c r="A285" s="279"/>
      <c r="B285" s="228"/>
      <c r="C285" s="284"/>
      <c r="D285" s="285"/>
      <c r="E285" s="82" t="s">
        <v>100</v>
      </c>
      <c r="F285" s="59">
        <f>'Прил 7 Перечень мероприятий'!I121</f>
        <v>5</v>
      </c>
      <c r="G285" s="241"/>
    </row>
    <row r="286" spans="1:7" ht="12" customHeight="1" x14ac:dyDescent="0.2">
      <c r="A286" s="279"/>
      <c r="B286" s="228"/>
      <c r="C286" s="284"/>
      <c r="D286" s="285"/>
      <c r="E286" s="82" t="s">
        <v>101</v>
      </c>
      <c r="F286" s="59">
        <f>'Прил 7 Перечень мероприятий'!J121</f>
        <v>5</v>
      </c>
      <c r="G286" s="241"/>
    </row>
    <row r="287" spans="1:7" ht="12" customHeight="1" x14ac:dyDescent="0.2">
      <c r="A287" s="279"/>
      <c r="B287" s="228"/>
      <c r="C287" s="284"/>
      <c r="D287" s="285"/>
      <c r="E287" s="82" t="s">
        <v>102</v>
      </c>
      <c r="F287" s="59">
        <f>'Прил 7 Перечень мероприятий'!K121</f>
        <v>5</v>
      </c>
      <c r="G287" s="241"/>
    </row>
    <row r="288" spans="1:7" x14ac:dyDescent="0.2">
      <c r="A288" s="278" t="s">
        <v>257</v>
      </c>
      <c r="B288" s="228" t="s">
        <v>166</v>
      </c>
      <c r="C288" s="282" t="s">
        <v>292</v>
      </c>
      <c r="D288" s="283"/>
      <c r="E288" s="83" t="s">
        <v>53</v>
      </c>
      <c r="F288" s="193">
        <f>SUM(F289:F293)</f>
        <v>863.1</v>
      </c>
      <c r="G288" s="241"/>
    </row>
    <row r="289" spans="1:7" x14ac:dyDescent="0.2">
      <c r="A289" s="279"/>
      <c r="B289" s="228"/>
      <c r="C289" s="284"/>
      <c r="D289" s="285"/>
      <c r="E289" s="82" t="s">
        <v>4</v>
      </c>
      <c r="F289" s="59">
        <f>'Прил 7 Перечень мероприятий'!G123</f>
        <v>193.1</v>
      </c>
      <c r="G289" s="241"/>
    </row>
    <row r="290" spans="1:7" x14ac:dyDescent="0.2">
      <c r="A290" s="279"/>
      <c r="B290" s="228"/>
      <c r="C290" s="284"/>
      <c r="D290" s="285"/>
      <c r="E290" s="82" t="s">
        <v>52</v>
      </c>
      <c r="F290" s="59">
        <f>'Прил 7 Перечень мероприятий'!H123</f>
        <v>70</v>
      </c>
      <c r="G290" s="241"/>
    </row>
    <row r="291" spans="1:7" x14ac:dyDescent="0.2">
      <c r="A291" s="279"/>
      <c r="B291" s="228"/>
      <c r="C291" s="284"/>
      <c r="D291" s="285"/>
      <c r="E291" s="82" t="s">
        <v>100</v>
      </c>
      <c r="F291" s="59">
        <f>'Прил 7 Перечень мероприятий'!I123</f>
        <v>200</v>
      </c>
      <c r="G291" s="241"/>
    </row>
    <row r="292" spans="1:7" x14ac:dyDescent="0.2">
      <c r="A292" s="279"/>
      <c r="B292" s="228"/>
      <c r="C292" s="284"/>
      <c r="D292" s="285"/>
      <c r="E292" s="82" t="s">
        <v>101</v>
      </c>
      <c r="F292" s="59">
        <f>'Прил 7 Перечень мероприятий'!J123</f>
        <v>200</v>
      </c>
      <c r="G292" s="241"/>
    </row>
    <row r="293" spans="1:7" x14ac:dyDescent="0.2">
      <c r="A293" s="279"/>
      <c r="B293" s="228"/>
      <c r="C293" s="284"/>
      <c r="D293" s="285"/>
      <c r="E293" s="82" t="s">
        <v>102</v>
      </c>
      <c r="F293" s="59">
        <f>'Прил 7 Перечень мероприятий'!K123</f>
        <v>200</v>
      </c>
      <c r="G293" s="241"/>
    </row>
    <row r="294" spans="1:7" x14ac:dyDescent="0.2">
      <c r="A294" s="278" t="s">
        <v>264</v>
      </c>
      <c r="B294" s="228" t="s">
        <v>166</v>
      </c>
      <c r="C294" s="291" t="s">
        <v>349</v>
      </c>
      <c r="D294" s="292"/>
      <c r="E294" s="83" t="s">
        <v>53</v>
      </c>
      <c r="F294" s="193">
        <f>SUM(F295:F299)</f>
        <v>919.79</v>
      </c>
      <c r="G294" s="241"/>
    </row>
    <row r="295" spans="1:7" x14ac:dyDescent="0.2">
      <c r="A295" s="279"/>
      <c r="B295" s="228"/>
      <c r="C295" s="293"/>
      <c r="D295" s="294"/>
      <c r="E295" s="82" t="s">
        <v>4</v>
      </c>
      <c r="F295" s="59">
        <f>'Прил 7 Перечень мероприятий'!G125</f>
        <v>37.79</v>
      </c>
      <c r="G295" s="241"/>
    </row>
    <row r="296" spans="1:7" x14ac:dyDescent="0.2">
      <c r="A296" s="279"/>
      <c r="B296" s="228"/>
      <c r="C296" s="293"/>
      <c r="D296" s="294"/>
      <c r="E296" s="82" t="s">
        <v>52</v>
      </c>
      <c r="F296" s="59">
        <f>'Прил 7 Перечень мероприятий'!H125</f>
        <v>282</v>
      </c>
      <c r="G296" s="241"/>
    </row>
    <row r="297" spans="1:7" x14ac:dyDescent="0.2">
      <c r="A297" s="279"/>
      <c r="B297" s="228"/>
      <c r="C297" s="293"/>
      <c r="D297" s="294"/>
      <c r="E297" s="82" t="s">
        <v>100</v>
      </c>
      <c r="F297" s="59">
        <f>'Прил 7 Перечень мероприятий'!I125</f>
        <v>200</v>
      </c>
      <c r="G297" s="241"/>
    </row>
    <row r="298" spans="1:7" x14ac:dyDescent="0.2">
      <c r="A298" s="279"/>
      <c r="B298" s="228"/>
      <c r="C298" s="293"/>
      <c r="D298" s="294"/>
      <c r="E298" s="82" t="s">
        <v>101</v>
      </c>
      <c r="F298" s="59">
        <f>'Прил 7 Перечень мероприятий'!J125</f>
        <v>200</v>
      </c>
      <c r="G298" s="241"/>
    </row>
    <row r="299" spans="1:7" x14ac:dyDescent="0.2">
      <c r="A299" s="279"/>
      <c r="B299" s="228"/>
      <c r="C299" s="293"/>
      <c r="D299" s="294"/>
      <c r="E299" s="82" t="s">
        <v>102</v>
      </c>
      <c r="F299" s="59">
        <f>'Прил 7 Перечень мероприятий'!K125</f>
        <v>200</v>
      </c>
      <c r="G299" s="241"/>
    </row>
    <row r="300" spans="1:7" x14ac:dyDescent="0.2">
      <c r="A300" s="278" t="s">
        <v>265</v>
      </c>
      <c r="B300" s="228" t="s">
        <v>166</v>
      </c>
      <c r="C300" s="282" t="s">
        <v>350</v>
      </c>
      <c r="D300" s="283"/>
      <c r="E300" s="83" t="s">
        <v>53</v>
      </c>
      <c r="F300" s="193">
        <f>SUM(F301:F305)</f>
        <v>1488.62</v>
      </c>
      <c r="G300" s="241"/>
    </row>
    <row r="301" spans="1:7" x14ac:dyDescent="0.2">
      <c r="A301" s="279"/>
      <c r="B301" s="228"/>
      <c r="C301" s="284"/>
      <c r="D301" s="285"/>
      <c r="E301" s="82" t="s">
        <v>4</v>
      </c>
      <c r="F301" s="59">
        <f>'Прил 7 Перечень мероприятий'!G127</f>
        <v>330.52</v>
      </c>
      <c r="G301" s="241"/>
    </row>
    <row r="302" spans="1:7" x14ac:dyDescent="0.2">
      <c r="A302" s="279"/>
      <c r="B302" s="228"/>
      <c r="C302" s="284"/>
      <c r="D302" s="285"/>
      <c r="E302" s="82" t="s">
        <v>52</v>
      </c>
      <c r="F302" s="59">
        <f>'Прил 7 Перечень мероприятий'!H127</f>
        <v>258.10000000000002</v>
      </c>
      <c r="G302" s="241"/>
    </row>
    <row r="303" spans="1:7" x14ac:dyDescent="0.2">
      <c r="A303" s="279"/>
      <c r="B303" s="228"/>
      <c r="C303" s="284"/>
      <c r="D303" s="285"/>
      <c r="E303" s="82" t="s">
        <v>100</v>
      </c>
      <c r="F303" s="59">
        <f>'Прил 7 Перечень мероприятий'!I127</f>
        <v>300</v>
      </c>
      <c r="G303" s="241"/>
    </row>
    <row r="304" spans="1:7" x14ac:dyDescent="0.2">
      <c r="A304" s="279"/>
      <c r="B304" s="228"/>
      <c r="C304" s="284"/>
      <c r="D304" s="285"/>
      <c r="E304" s="82" t="s">
        <v>101</v>
      </c>
      <c r="F304" s="59">
        <f>'Прил 7 Перечень мероприятий'!J127</f>
        <v>300</v>
      </c>
      <c r="G304" s="241"/>
    </row>
    <row r="305" spans="1:7" x14ac:dyDescent="0.2">
      <c r="A305" s="279"/>
      <c r="B305" s="228"/>
      <c r="C305" s="284"/>
      <c r="D305" s="285"/>
      <c r="E305" s="82" t="s">
        <v>102</v>
      </c>
      <c r="F305" s="59">
        <f>'Прил 7 Перечень мероприятий'!K127</f>
        <v>300</v>
      </c>
      <c r="G305" s="241"/>
    </row>
    <row r="306" spans="1:7" x14ac:dyDescent="0.2">
      <c r="A306" s="295" t="s">
        <v>266</v>
      </c>
      <c r="B306" s="228" t="s">
        <v>166</v>
      </c>
      <c r="C306" s="290" t="s">
        <v>191</v>
      </c>
      <c r="D306" s="290"/>
      <c r="E306" s="113" t="s">
        <v>53</v>
      </c>
      <c r="F306" s="193">
        <f>SUM(F307:F311)</f>
        <v>360</v>
      </c>
      <c r="G306" s="241"/>
    </row>
    <row r="307" spans="1:7" x14ac:dyDescent="0.2">
      <c r="A307" s="296"/>
      <c r="B307" s="228"/>
      <c r="C307" s="290"/>
      <c r="D307" s="290"/>
      <c r="E307" s="111" t="s">
        <v>4</v>
      </c>
      <c r="F307" s="59">
        <f>'Прил 7 Перечень мероприятий'!G129</f>
        <v>0</v>
      </c>
      <c r="G307" s="241"/>
    </row>
    <row r="308" spans="1:7" x14ac:dyDescent="0.2">
      <c r="A308" s="296"/>
      <c r="B308" s="228"/>
      <c r="C308" s="290"/>
      <c r="D308" s="290"/>
      <c r="E308" s="111" t="s">
        <v>52</v>
      </c>
      <c r="F308" s="59">
        <f>'Прил 7 Перечень мероприятий'!H129</f>
        <v>90</v>
      </c>
      <c r="G308" s="241"/>
    </row>
    <row r="309" spans="1:7" x14ac:dyDescent="0.2">
      <c r="A309" s="296"/>
      <c r="B309" s="228"/>
      <c r="C309" s="290"/>
      <c r="D309" s="290"/>
      <c r="E309" s="111" t="s">
        <v>100</v>
      </c>
      <c r="F309" s="59">
        <f>'Прил 7 Перечень мероприятий'!I129</f>
        <v>90</v>
      </c>
      <c r="G309" s="241"/>
    </row>
    <row r="310" spans="1:7" x14ac:dyDescent="0.2">
      <c r="A310" s="296"/>
      <c r="B310" s="228"/>
      <c r="C310" s="290"/>
      <c r="D310" s="290"/>
      <c r="E310" s="111" t="s">
        <v>101</v>
      </c>
      <c r="F310" s="59">
        <f>'Прил 7 Перечень мероприятий'!J129</f>
        <v>90</v>
      </c>
      <c r="G310" s="241"/>
    </row>
    <row r="311" spans="1:7" x14ac:dyDescent="0.2">
      <c r="A311" s="296"/>
      <c r="B311" s="228"/>
      <c r="C311" s="290"/>
      <c r="D311" s="290"/>
      <c r="E311" s="111" t="s">
        <v>102</v>
      </c>
      <c r="F311" s="59">
        <f>'Прил 7 Перечень мероприятий'!K129</f>
        <v>90</v>
      </c>
      <c r="G311" s="241"/>
    </row>
    <row r="312" spans="1:7" x14ac:dyDescent="0.2">
      <c r="A312" s="295" t="s">
        <v>302</v>
      </c>
      <c r="B312" s="228" t="s">
        <v>166</v>
      </c>
      <c r="C312" s="290" t="s">
        <v>304</v>
      </c>
      <c r="D312" s="290"/>
      <c r="E312" s="113" t="s">
        <v>53</v>
      </c>
      <c r="F312" s="193">
        <f>SUM(F313:F317)</f>
        <v>0</v>
      </c>
      <c r="G312" s="241"/>
    </row>
    <row r="313" spans="1:7" x14ac:dyDescent="0.2">
      <c r="A313" s="296"/>
      <c r="B313" s="228"/>
      <c r="C313" s="290"/>
      <c r="D313" s="290"/>
      <c r="E313" s="111" t="s">
        <v>4</v>
      </c>
      <c r="F313" s="59">
        <v>0</v>
      </c>
      <c r="G313" s="241"/>
    </row>
    <row r="314" spans="1:7" x14ac:dyDescent="0.2">
      <c r="A314" s="296"/>
      <c r="B314" s="228"/>
      <c r="C314" s="290"/>
      <c r="D314" s="290"/>
      <c r="E314" s="111" t="s">
        <v>52</v>
      </c>
      <c r="F314" s="59">
        <v>0</v>
      </c>
      <c r="G314" s="241"/>
    </row>
    <row r="315" spans="1:7" x14ac:dyDescent="0.2">
      <c r="A315" s="296"/>
      <c r="B315" s="228"/>
      <c r="C315" s="290"/>
      <c r="D315" s="290"/>
      <c r="E315" s="111" t="s">
        <v>100</v>
      </c>
      <c r="F315" s="59">
        <v>0</v>
      </c>
      <c r="G315" s="241"/>
    </row>
    <row r="316" spans="1:7" x14ac:dyDescent="0.2">
      <c r="A316" s="296"/>
      <c r="B316" s="228"/>
      <c r="C316" s="290"/>
      <c r="D316" s="290"/>
      <c r="E316" s="111" t="s">
        <v>101</v>
      </c>
      <c r="F316" s="59">
        <v>0</v>
      </c>
      <c r="G316" s="241"/>
    </row>
    <row r="317" spans="1:7" x14ac:dyDescent="0.2">
      <c r="A317" s="296"/>
      <c r="B317" s="228"/>
      <c r="C317" s="290"/>
      <c r="D317" s="290"/>
      <c r="E317" s="111" t="s">
        <v>102</v>
      </c>
      <c r="F317" s="59">
        <v>0</v>
      </c>
      <c r="G317" s="241"/>
    </row>
    <row r="318" spans="1:7" x14ac:dyDescent="0.2">
      <c r="A318" s="295" t="s">
        <v>303</v>
      </c>
      <c r="B318" s="228" t="s">
        <v>166</v>
      </c>
      <c r="C318" s="290" t="s">
        <v>305</v>
      </c>
      <c r="D318" s="290"/>
      <c r="E318" s="83" t="s">
        <v>53</v>
      </c>
      <c r="F318" s="193">
        <f>SUM(F319:F323)</f>
        <v>4.2</v>
      </c>
      <c r="G318" s="241"/>
    </row>
    <row r="319" spans="1:7" x14ac:dyDescent="0.2">
      <c r="A319" s="296"/>
      <c r="B319" s="228"/>
      <c r="C319" s="290"/>
      <c r="D319" s="290"/>
      <c r="E319" s="82" t="s">
        <v>4</v>
      </c>
      <c r="F319" s="59">
        <f>'Прил 7 Перечень мероприятий'!F132</f>
        <v>4.2</v>
      </c>
      <c r="G319" s="241"/>
    </row>
    <row r="320" spans="1:7" x14ac:dyDescent="0.2">
      <c r="A320" s="296"/>
      <c r="B320" s="228"/>
      <c r="C320" s="290"/>
      <c r="D320" s="290"/>
      <c r="E320" s="82" t="s">
        <v>52</v>
      </c>
      <c r="F320" s="59">
        <f>'Прил 7 Перечень мероприятий'!H132</f>
        <v>0</v>
      </c>
      <c r="G320" s="241"/>
    </row>
    <row r="321" spans="1:7" x14ac:dyDescent="0.2">
      <c r="A321" s="296"/>
      <c r="B321" s="228"/>
      <c r="C321" s="290"/>
      <c r="D321" s="290"/>
      <c r="E321" s="82" t="s">
        <v>100</v>
      </c>
      <c r="F321" s="59">
        <f>'Прил 7 Перечень мероприятий'!I132</f>
        <v>0</v>
      </c>
      <c r="G321" s="241"/>
    </row>
    <row r="322" spans="1:7" x14ac:dyDescent="0.2">
      <c r="A322" s="296"/>
      <c r="B322" s="228"/>
      <c r="C322" s="290"/>
      <c r="D322" s="290"/>
      <c r="E322" s="82" t="s">
        <v>101</v>
      </c>
      <c r="F322" s="59">
        <f>'Прил 7 Перечень мероприятий'!J132</f>
        <v>0</v>
      </c>
      <c r="G322" s="241"/>
    </row>
    <row r="323" spans="1:7" x14ac:dyDescent="0.2">
      <c r="A323" s="296"/>
      <c r="B323" s="228"/>
      <c r="C323" s="290"/>
      <c r="D323" s="290"/>
      <c r="E323" s="82" t="s">
        <v>102</v>
      </c>
      <c r="F323" s="59">
        <f>'Прил 7 Перечень мероприятий'!K132</f>
        <v>0</v>
      </c>
      <c r="G323" s="241"/>
    </row>
  </sheetData>
  <mergeCells count="224">
    <mergeCell ref="A246:A251"/>
    <mergeCell ref="B246:B251"/>
    <mergeCell ref="D246:D251"/>
    <mergeCell ref="G246:G251"/>
    <mergeCell ref="A252:A257"/>
    <mergeCell ref="B252:B257"/>
    <mergeCell ref="D252:D257"/>
    <mergeCell ref="G252:G257"/>
    <mergeCell ref="B156:B161"/>
    <mergeCell ref="C156:D161"/>
    <mergeCell ref="G156:G161"/>
    <mergeCell ref="F145:F149"/>
    <mergeCell ref="A144:G144"/>
    <mergeCell ref="A150:A155"/>
    <mergeCell ref="C150:D155"/>
    <mergeCell ref="A145:B149"/>
    <mergeCell ref="A240:A245"/>
    <mergeCell ref="B240:B245"/>
    <mergeCell ref="D240:D245"/>
    <mergeCell ref="G240:G245"/>
    <mergeCell ref="A228:A233"/>
    <mergeCell ref="B228:B233"/>
    <mergeCell ref="D228:D233"/>
    <mergeCell ref="G228:G233"/>
    <mergeCell ref="B210:B215"/>
    <mergeCell ref="C210:D215"/>
    <mergeCell ref="G210:G215"/>
    <mergeCell ref="A162:A167"/>
    <mergeCell ref="B18:B23"/>
    <mergeCell ref="C18:D23"/>
    <mergeCell ref="G18:G23"/>
    <mergeCell ref="B162:B167"/>
    <mergeCell ref="C162:D167"/>
    <mergeCell ref="G162:G167"/>
    <mergeCell ref="A186:A191"/>
    <mergeCell ref="B186:B191"/>
    <mergeCell ref="C186:D191"/>
    <mergeCell ref="G186:G191"/>
    <mergeCell ref="A180:A185"/>
    <mergeCell ref="B180:B185"/>
    <mergeCell ref="C180:D185"/>
    <mergeCell ref="G168:G173"/>
    <mergeCell ref="G60:G65"/>
    <mergeCell ref="A60:A65"/>
    <mergeCell ref="C60:D65"/>
    <mergeCell ref="A7:G7"/>
    <mergeCell ref="A222:A227"/>
    <mergeCell ref="B222:B227"/>
    <mergeCell ref="D222:D227"/>
    <mergeCell ref="G222:G227"/>
    <mergeCell ref="C204:D209"/>
    <mergeCell ref="G204:G209"/>
    <mergeCell ref="A210:A215"/>
    <mergeCell ref="A204:A209"/>
    <mergeCell ref="B204:B209"/>
    <mergeCell ref="A72:A77"/>
    <mergeCell ref="C72:D77"/>
    <mergeCell ref="G66:G71"/>
    <mergeCell ref="B48:B53"/>
    <mergeCell ref="C48:D53"/>
    <mergeCell ref="E8:F8"/>
    <mergeCell ref="A54:A59"/>
    <mergeCell ref="A42:A47"/>
    <mergeCell ref="G42:G47"/>
    <mergeCell ref="A48:A53"/>
    <mergeCell ref="A18:A23"/>
    <mergeCell ref="G102:G107"/>
    <mergeCell ref="B84:B89"/>
    <mergeCell ref="G84:G89"/>
    <mergeCell ref="D1:G1"/>
    <mergeCell ref="E2:G2"/>
    <mergeCell ref="A259:B263"/>
    <mergeCell ref="C259:D263"/>
    <mergeCell ref="E259:E263"/>
    <mergeCell ref="F259:F263"/>
    <mergeCell ref="G259:G263"/>
    <mergeCell ref="G180:G185"/>
    <mergeCell ref="A174:A179"/>
    <mergeCell ref="B174:B179"/>
    <mergeCell ref="C174:D179"/>
    <mergeCell ref="G174:G179"/>
    <mergeCell ref="A192:A197"/>
    <mergeCell ref="B192:B197"/>
    <mergeCell ref="A258:G258"/>
    <mergeCell ref="C192:D197"/>
    <mergeCell ref="G192:G197"/>
    <mergeCell ref="A198:A203"/>
    <mergeCell ref="A36:A41"/>
    <mergeCell ref="B36:B41"/>
    <mergeCell ref="C36:D41"/>
    <mergeCell ref="A138:A143"/>
    <mergeCell ref="B138:B143"/>
    <mergeCell ref="G132:G137"/>
    <mergeCell ref="A132:A137"/>
    <mergeCell ref="B132:B137"/>
    <mergeCell ref="B24:B29"/>
    <mergeCell ref="G24:G29"/>
    <mergeCell ref="A24:A29"/>
    <mergeCell ref="A30:A35"/>
    <mergeCell ref="B30:B35"/>
    <mergeCell ref="B42:B47"/>
    <mergeCell ref="C42:D47"/>
    <mergeCell ref="A66:A71"/>
    <mergeCell ref="C66:D71"/>
    <mergeCell ref="C54:D59"/>
    <mergeCell ref="G54:G59"/>
    <mergeCell ref="A90:A95"/>
    <mergeCell ref="B90:B95"/>
    <mergeCell ref="D90:D95"/>
    <mergeCell ref="G90:G95"/>
    <mergeCell ref="D96:D101"/>
    <mergeCell ref="A96:A101"/>
    <mergeCell ref="G96:G101"/>
    <mergeCell ref="B96:B101"/>
    <mergeCell ref="G114:G119"/>
    <mergeCell ref="D108:D113"/>
    <mergeCell ref="G108:G113"/>
    <mergeCell ref="A108:A113"/>
    <mergeCell ref="B108:B113"/>
    <mergeCell ref="A114:A119"/>
    <mergeCell ref="A126:A131"/>
    <mergeCell ref="B126:B131"/>
    <mergeCell ref="D126:D131"/>
    <mergeCell ref="G126:G131"/>
    <mergeCell ref="A120:A125"/>
    <mergeCell ref="B120:B125"/>
    <mergeCell ref="D120:D125"/>
    <mergeCell ref="G120:G125"/>
    <mergeCell ref="B12:B17"/>
    <mergeCell ref="A10:G10"/>
    <mergeCell ref="A168:A173"/>
    <mergeCell ref="B72:B77"/>
    <mergeCell ref="G72:G77"/>
    <mergeCell ref="C8:D8"/>
    <mergeCell ref="C9:D9"/>
    <mergeCell ref="G150:G155"/>
    <mergeCell ref="B150:B155"/>
    <mergeCell ref="C30:D35"/>
    <mergeCell ref="C24:D29"/>
    <mergeCell ref="G30:G35"/>
    <mergeCell ref="G36:G41"/>
    <mergeCell ref="B66:B71"/>
    <mergeCell ref="A11:B11"/>
    <mergeCell ref="C12:D17"/>
    <mergeCell ref="G12:G17"/>
    <mergeCell ref="C102:D107"/>
    <mergeCell ref="B60:B65"/>
    <mergeCell ref="G48:G53"/>
    <mergeCell ref="B54:B59"/>
    <mergeCell ref="E145:E149"/>
    <mergeCell ref="D84:D89"/>
    <mergeCell ref="D138:D143"/>
    <mergeCell ref="E9:F9"/>
    <mergeCell ref="B318:B323"/>
    <mergeCell ref="C318:D323"/>
    <mergeCell ref="G318:G323"/>
    <mergeCell ref="A300:A305"/>
    <mergeCell ref="B300:B305"/>
    <mergeCell ref="C300:D305"/>
    <mergeCell ref="G300:G305"/>
    <mergeCell ref="A294:A299"/>
    <mergeCell ref="B294:B299"/>
    <mergeCell ref="C294:D299"/>
    <mergeCell ref="G294:G299"/>
    <mergeCell ref="A318:A323"/>
    <mergeCell ref="A312:A317"/>
    <mergeCell ref="B312:B317"/>
    <mergeCell ref="C312:D317"/>
    <mergeCell ref="G312:G317"/>
    <mergeCell ref="A306:A311"/>
    <mergeCell ref="B306:B311"/>
    <mergeCell ref="C306:D311"/>
    <mergeCell ref="G306:G311"/>
    <mergeCell ref="A84:A89"/>
    <mergeCell ref="C168:D173"/>
    <mergeCell ref="A12:A17"/>
    <mergeCell ref="D3:G3"/>
    <mergeCell ref="E4:G4"/>
    <mergeCell ref="D6:G6"/>
    <mergeCell ref="A288:A293"/>
    <mergeCell ref="B288:B293"/>
    <mergeCell ref="C288:D293"/>
    <mergeCell ref="G288:G293"/>
    <mergeCell ref="A264:A269"/>
    <mergeCell ref="B264:B269"/>
    <mergeCell ref="C264:D269"/>
    <mergeCell ref="G264:G269"/>
    <mergeCell ref="A282:A287"/>
    <mergeCell ref="B282:B287"/>
    <mergeCell ref="C282:D287"/>
    <mergeCell ref="G282:G287"/>
    <mergeCell ref="A276:A281"/>
    <mergeCell ref="B276:B281"/>
    <mergeCell ref="C276:D281"/>
    <mergeCell ref="G276:G281"/>
    <mergeCell ref="A270:A275"/>
    <mergeCell ref="B270:B275"/>
    <mergeCell ref="C270:D275"/>
    <mergeCell ref="D132:D137"/>
    <mergeCell ref="G270:G275"/>
    <mergeCell ref="A78:A83"/>
    <mergeCell ref="B78:B83"/>
    <mergeCell ref="D78:D83"/>
    <mergeCell ref="G78:G83"/>
    <mergeCell ref="A234:A239"/>
    <mergeCell ref="B234:B239"/>
    <mergeCell ref="D234:D239"/>
    <mergeCell ref="G234:G239"/>
    <mergeCell ref="C145:D149"/>
    <mergeCell ref="G145:G149"/>
    <mergeCell ref="B198:B203"/>
    <mergeCell ref="C198:D203"/>
    <mergeCell ref="G198:G203"/>
    <mergeCell ref="B114:B119"/>
    <mergeCell ref="A102:A107"/>
    <mergeCell ref="B102:B107"/>
    <mergeCell ref="A216:A221"/>
    <mergeCell ref="B216:B221"/>
    <mergeCell ref="D216:D221"/>
    <mergeCell ref="G216:G221"/>
    <mergeCell ref="B168:B173"/>
    <mergeCell ref="A156:A161"/>
    <mergeCell ref="G138:G143"/>
    <mergeCell ref="D114:D119"/>
  </mergeCells>
  <pageMargins left="0.9055118110236221" right="0.9055118110236221" top="0.74803149606299213" bottom="0.74803149606299213" header="0.31496062992125984" footer="0.31496062992125984"/>
  <pageSetup paperSize="9" scale="55" fitToHeight="0" orientation="landscape" r:id="rId1"/>
  <rowBreaks count="5" manualBreakCount="5">
    <brk id="47" max="6" man="1"/>
    <brk id="101" max="6" man="1"/>
    <brk id="167" max="6" man="1"/>
    <brk id="227" max="6" man="1"/>
    <brk id="29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38"/>
  <sheetViews>
    <sheetView topLeftCell="B1" zoomScaleNormal="100" zoomScaleSheetLayoutView="85" workbookViewId="0">
      <pane ySplit="9" topLeftCell="A103" activePane="bottomLeft" state="frozen"/>
      <selection pane="bottomLeft" activeCell="L103" sqref="L103:L104"/>
    </sheetView>
  </sheetViews>
  <sheetFormatPr defaultRowHeight="15" x14ac:dyDescent="0.25"/>
  <cols>
    <col min="1" max="1" width="6.28515625" style="40" customWidth="1"/>
    <col min="2" max="2" width="27.140625" style="5" customWidth="1"/>
    <col min="3" max="3" width="13.5703125" style="5" customWidth="1"/>
    <col min="4" max="4" width="17.85546875" style="5" customWidth="1"/>
    <col min="5" max="5" width="14.140625" style="20" customWidth="1"/>
    <col min="6" max="6" width="13.42578125" style="20" bestFit="1" customWidth="1"/>
    <col min="7" max="7" width="14.7109375" style="20" bestFit="1" customWidth="1"/>
    <col min="8" max="8" width="13.42578125" style="426" bestFit="1" customWidth="1"/>
    <col min="9" max="9" width="16" style="426" bestFit="1" customWidth="1"/>
    <col min="10" max="10" width="14.7109375" style="426" bestFit="1" customWidth="1"/>
    <col min="11" max="11" width="13.7109375" style="20" customWidth="1"/>
    <col min="12" max="12" width="20.42578125" style="5" customWidth="1"/>
    <col min="13" max="13" width="19.140625" style="5" customWidth="1"/>
    <col min="14" max="16" width="9.140625" style="5"/>
    <col min="17" max="17" width="15" style="5" bestFit="1" customWidth="1"/>
    <col min="18" max="16384" width="9.140625" style="5"/>
  </cols>
  <sheetData>
    <row r="1" spans="1:17" ht="14.25" x14ac:dyDescent="0.2">
      <c r="A1" s="219" t="s">
        <v>60</v>
      </c>
      <c r="B1" s="219"/>
      <c r="C1" s="219"/>
      <c r="D1" s="219"/>
      <c r="E1" s="219"/>
      <c r="F1" s="219"/>
      <c r="G1" s="219"/>
      <c r="H1" s="219"/>
      <c r="I1" s="219"/>
      <c r="J1" s="219"/>
      <c r="K1" s="219"/>
      <c r="L1" s="219"/>
      <c r="M1" s="219"/>
    </row>
    <row r="2" spans="1:17" ht="14.25" x14ac:dyDescent="0.2">
      <c r="A2" s="220" t="s">
        <v>114</v>
      </c>
      <c r="B2" s="220"/>
      <c r="C2" s="220"/>
      <c r="D2" s="220"/>
      <c r="E2" s="220"/>
      <c r="F2" s="220"/>
      <c r="G2" s="220"/>
      <c r="H2" s="220"/>
      <c r="I2" s="220"/>
      <c r="J2" s="220"/>
      <c r="K2" s="220"/>
      <c r="L2" s="220"/>
      <c r="M2" s="220"/>
    </row>
    <row r="3" spans="1:17" x14ac:dyDescent="0.2">
      <c r="A3" s="219" t="s">
        <v>128</v>
      </c>
      <c r="B3" s="219"/>
      <c r="C3" s="219"/>
      <c r="D3" s="219"/>
      <c r="E3" s="219"/>
      <c r="F3" s="219"/>
      <c r="G3" s="219"/>
      <c r="H3" s="219"/>
      <c r="I3" s="219"/>
      <c r="J3" s="219"/>
      <c r="K3" s="219"/>
      <c r="L3" s="219"/>
      <c r="M3" s="219"/>
    </row>
    <row r="4" spans="1:17" ht="14.25" x14ac:dyDescent="0.2">
      <c r="A4" s="6"/>
      <c r="B4" s="11"/>
      <c r="C4" s="62"/>
      <c r="D4" s="11"/>
      <c r="E4" s="84"/>
      <c r="F4" s="84"/>
      <c r="G4" s="84"/>
      <c r="H4" s="425"/>
      <c r="I4" s="425"/>
      <c r="J4" s="425"/>
      <c r="K4" s="84"/>
      <c r="L4" s="11"/>
      <c r="M4" s="11"/>
    </row>
    <row r="5" spans="1:17" ht="15.75" x14ac:dyDescent="0.2">
      <c r="A5" s="389" t="s">
        <v>83</v>
      </c>
      <c r="B5" s="389"/>
      <c r="C5" s="389"/>
      <c r="D5" s="389"/>
      <c r="E5" s="389"/>
      <c r="F5" s="389"/>
      <c r="G5" s="389"/>
      <c r="H5" s="389"/>
      <c r="I5" s="389"/>
      <c r="J5" s="389"/>
      <c r="K5" s="389"/>
      <c r="L5" s="389"/>
      <c r="M5" s="389"/>
    </row>
    <row r="6" spans="1:17" ht="15.75" x14ac:dyDescent="0.2">
      <c r="A6" s="389" t="s">
        <v>118</v>
      </c>
      <c r="B6" s="389"/>
      <c r="C6" s="389"/>
      <c r="D6" s="389"/>
      <c r="E6" s="389"/>
      <c r="F6" s="389"/>
      <c r="G6" s="389"/>
      <c r="H6" s="389"/>
      <c r="I6" s="389"/>
      <c r="J6" s="389"/>
      <c r="K6" s="389"/>
      <c r="L6" s="389"/>
      <c r="M6" s="389"/>
    </row>
    <row r="7" spans="1:17" ht="14.25" x14ac:dyDescent="0.2">
      <c r="A7" s="6"/>
    </row>
    <row r="8" spans="1:17" ht="70.5" customHeight="1" x14ac:dyDescent="0.2">
      <c r="A8" s="390" t="s">
        <v>44</v>
      </c>
      <c r="B8" s="390" t="s">
        <v>38</v>
      </c>
      <c r="C8" s="390" t="s">
        <v>40</v>
      </c>
      <c r="D8" s="390" t="s">
        <v>39</v>
      </c>
      <c r="E8" s="391" t="s">
        <v>352</v>
      </c>
      <c r="F8" s="391" t="s">
        <v>41</v>
      </c>
      <c r="G8" s="391" t="s">
        <v>396</v>
      </c>
      <c r="H8" s="391"/>
      <c r="I8" s="391"/>
      <c r="J8" s="391"/>
      <c r="K8" s="391"/>
      <c r="L8" s="390" t="s">
        <v>42</v>
      </c>
      <c r="M8" s="390" t="s">
        <v>43</v>
      </c>
    </row>
    <row r="9" spans="1:17" ht="66.75" customHeight="1" x14ac:dyDescent="0.2">
      <c r="A9" s="390"/>
      <c r="B9" s="390"/>
      <c r="C9" s="390"/>
      <c r="D9" s="390"/>
      <c r="E9" s="391"/>
      <c r="F9" s="391"/>
      <c r="G9" s="21" t="s">
        <v>4</v>
      </c>
      <c r="H9" s="427" t="s">
        <v>52</v>
      </c>
      <c r="I9" s="427" t="s">
        <v>100</v>
      </c>
      <c r="J9" s="427" t="s">
        <v>95</v>
      </c>
      <c r="K9" s="21" t="s">
        <v>96</v>
      </c>
      <c r="L9" s="390"/>
      <c r="M9" s="390"/>
    </row>
    <row r="10" spans="1:17" ht="15" customHeight="1" x14ac:dyDescent="0.2">
      <c r="A10" s="12">
        <v>1</v>
      </c>
      <c r="B10" s="12">
        <v>2</v>
      </c>
      <c r="C10" s="153">
        <v>3</v>
      </c>
      <c r="D10" s="153">
        <v>4</v>
      </c>
      <c r="E10" s="153">
        <v>5</v>
      </c>
      <c r="F10" s="153">
        <v>6</v>
      </c>
      <c r="G10" s="153">
        <v>7</v>
      </c>
      <c r="H10" s="171">
        <v>8</v>
      </c>
      <c r="I10" s="171">
        <v>9</v>
      </c>
      <c r="J10" s="171">
        <v>10</v>
      </c>
      <c r="K10" s="153">
        <v>11</v>
      </c>
      <c r="L10" s="153">
        <v>12</v>
      </c>
      <c r="M10" s="153">
        <v>13</v>
      </c>
    </row>
    <row r="11" spans="1:17" ht="16.5" x14ac:dyDescent="0.2">
      <c r="A11" s="386" t="s">
        <v>61</v>
      </c>
      <c r="B11" s="386"/>
      <c r="C11" s="386"/>
      <c r="D11" s="386"/>
      <c r="E11" s="386"/>
      <c r="F11" s="386"/>
      <c r="G11" s="386"/>
      <c r="H11" s="386"/>
      <c r="I11" s="386"/>
      <c r="J11" s="386"/>
      <c r="K11" s="386"/>
      <c r="L11" s="386"/>
      <c r="M11" s="386"/>
    </row>
    <row r="12" spans="1:17" ht="17.25" customHeight="1" x14ac:dyDescent="0.2">
      <c r="A12" s="359" t="s">
        <v>59</v>
      </c>
      <c r="B12" s="393" t="s">
        <v>153</v>
      </c>
      <c r="C12" s="394"/>
      <c r="D12" s="23" t="s">
        <v>31</v>
      </c>
      <c r="E12" s="114">
        <f>E13</f>
        <v>62034.64841999999</v>
      </c>
      <c r="F12" s="114">
        <f>F13</f>
        <v>311162.28613999998</v>
      </c>
      <c r="G12" s="114">
        <f>G13</f>
        <v>62034.64841999999</v>
      </c>
      <c r="H12" s="114">
        <f>H13</f>
        <v>57738.137719999992</v>
      </c>
      <c r="I12" s="114">
        <f t="shared" ref="I12:K12" si="0">I13</f>
        <v>63718.299999999996</v>
      </c>
      <c r="J12" s="114">
        <f t="shared" si="0"/>
        <v>63835.6</v>
      </c>
      <c r="K12" s="114">
        <f t="shared" si="0"/>
        <v>63835.6</v>
      </c>
      <c r="L12" s="356" t="s">
        <v>156</v>
      </c>
      <c r="M12" s="387"/>
    </row>
    <row r="13" spans="1:17" s="92" customFormat="1" ht="53.25" customHeight="1" x14ac:dyDescent="0.2">
      <c r="A13" s="359"/>
      <c r="B13" s="395"/>
      <c r="C13" s="396"/>
      <c r="D13" s="93" t="s">
        <v>85</v>
      </c>
      <c r="E13" s="173">
        <f>G13</f>
        <v>62034.64841999999</v>
      </c>
      <c r="F13" s="173">
        <f>SUM(G13:K13)</f>
        <v>311162.28613999998</v>
      </c>
      <c r="G13" s="173">
        <f>G15+G17+G19+G21+G23+G25+G27+G29+G31+G33+G35+G37+G39+G41</f>
        <v>62034.64841999999</v>
      </c>
      <c r="H13" s="183">
        <f>H14+H16+H18+H20+H22+H24+H26+H28+H30+H32+H34+H40+H36+H38+H42</f>
        <v>57738.137719999992</v>
      </c>
      <c r="I13" s="183">
        <f t="shared" ref="I13:K13" si="1">I14+I16+I18+I20+I22+I24+I26+I28+I30+I32+I34+I40+I36+I38+I42</f>
        <v>63718.299999999996</v>
      </c>
      <c r="J13" s="183">
        <f t="shared" si="1"/>
        <v>63835.6</v>
      </c>
      <c r="K13" s="173">
        <f t="shared" si="1"/>
        <v>63835.6</v>
      </c>
      <c r="L13" s="357"/>
      <c r="M13" s="388"/>
      <c r="O13" s="97"/>
      <c r="Q13" s="97">
        <f>63322.6-H13</f>
        <v>5584.462280000007</v>
      </c>
    </row>
    <row r="14" spans="1:17" s="92" customFormat="1" ht="15.75" customHeight="1" x14ac:dyDescent="0.2">
      <c r="A14" s="352" t="s">
        <v>32</v>
      </c>
      <c r="B14" s="353" t="s">
        <v>374</v>
      </c>
      <c r="C14" s="345" t="s">
        <v>104</v>
      </c>
      <c r="D14" s="95" t="s">
        <v>31</v>
      </c>
      <c r="E14" s="174">
        <f t="shared" ref="E14:J14" si="2">E15</f>
        <v>2387.65427</v>
      </c>
      <c r="F14" s="174">
        <f t="shared" si="2"/>
        <v>12457.654269999999</v>
      </c>
      <c r="G14" s="174">
        <f t="shared" si="2"/>
        <v>2387.65427</v>
      </c>
      <c r="H14" s="114">
        <f t="shared" si="2"/>
        <v>1970</v>
      </c>
      <c r="I14" s="114">
        <f t="shared" si="2"/>
        <v>2700</v>
      </c>
      <c r="J14" s="114">
        <f t="shared" si="2"/>
        <v>2700</v>
      </c>
      <c r="K14" s="174">
        <f>K15</f>
        <v>2700</v>
      </c>
      <c r="L14" s="348" t="s">
        <v>156</v>
      </c>
      <c r="M14" s="348" t="s">
        <v>187</v>
      </c>
    </row>
    <row r="15" spans="1:17" s="92" customFormat="1" ht="135" customHeight="1" x14ac:dyDescent="0.2">
      <c r="A15" s="352"/>
      <c r="B15" s="353"/>
      <c r="C15" s="347"/>
      <c r="D15" s="93" t="s">
        <v>88</v>
      </c>
      <c r="E15" s="173">
        <f>G15</f>
        <v>2387.65427</v>
      </c>
      <c r="F15" s="173">
        <f>SUM(G15:K15)</f>
        <v>12457.654269999999</v>
      </c>
      <c r="G15" s="173">
        <f>(2387654.27)/1000</f>
        <v>2387.65427</v>
      </c>
      <c r="H15" s="183">
        <f>1970</f>
        <v>1970</v>
      </c>
      <c r="I15" s="183">
        <v>2700</v>
      </c>
      <c r="J15" s="183">
        <v>2700</v>
      </c>
      <c r="K15" s="173">
        <v>2700</v>
      </c>
      <c r="L15" s="350"/>
      <c r="M15" s="350"/>
    </row>
    <row r="16" spans="1:17" s="92" customFormat="1" ht="16.5" customHeight="1" x14ac:dyDescent="0.2">
      <c r="A16" s="358" t="s">
        <v>33</v>
      </c>
      <c r="B16" s="353" t="s">
        <v>154</v>
      </c>
      <c r="C16" s="345" t="s">
        <v>104</v>
      </c>
      <c r="D16" s="95" t="s">
        <v>31</v>
      </c>
      <c r="E16" s="174">
        <f t="shared" ref="E16:K16" si="3">SUM(E17:E17)</f>
        <v>286.69900000000001</v>
      </c>
      <c r="F16" s="174">
        <f t="shared" si="3"/>
        <v>1436.6990000000001</v>
      </c>
      <c r="G16" s="174">
        <f t="shared" si="3"/>
        <v>286.69900000000001</v>
      </c>
      <c r="H16" s="114">
        <f t="shared" si="3"/>
        <v>100</v>
      </c>
      <c r="I16" s="114">
        <f t="shared" si="3"/>
        <v>350</v>
      </c>
      <c r="J16" s="114">
        <f t="shared" si="3"/>
        <v>350</v>
      </c>
      <c r="K16" s="174">
        <f t="shared" si="3"/>
        <v>350</v>
      </c>
      <c r="L16" s="348" t="s">
        <v>89</v>
      </c>
      <c r="M16" s="348" t="s">
        <v>169</v>
      </c>
    </row>
    <row r="17" spans="1:13" s="92" customFormat="1" ht="51.75" customHeight="1" x14ac:dyDescent="0.2">
      <c r="A17" s="358"/>
      <c r="B17" s="353"/>
      <c r="C17" s="346"/>
      <c r="D17" s="93" t="s">
        <v>90</v>
      </c>
      <c r="E17" s="173">
        <f>G17</f>
        <v>286.69900000000001</v>
      </c>
      <c r="F17" s="173">
        <f>G17+H17+I17+J17+K17</f>
        <v>1436.6990000000001</v>
      </c>
      <c r="G17" s="173">
        <f>(286699)/1000</f>
        <v>286.69900000000001</v>
      </c>
      <c r="H17" s="183">
        <v>100</v>
      </c>
      <c r="I17" s="183">
        <v>350</v>
      </c>
      <c r="J17" s="183">
        <v>350</v>
      </c>
      <c r="K17" s="173">
        <v>350</v>
      </c>
      <c r="L17" s="349"/>
      <c r="M17" s="349"/>
    </row>
    <row r="18" spans="1:13" s="92" customFormat="1" ht="17.25" customHeight="1" x14ac:dyDescent="0.2">
      <c r="A18" s="358" t="s">
        <v>34</v>
      </c>
      <c r="B18" s="353" t="s">
        <v>223</v>
      </c>
      <c r="C18" s="392" t="s">
        <v>104</v>
      </c>
      <c r="D18" s="95" t="s">
        <v>31</v>
      </c>
      <c r="E18" s="174">
        <f t="shared" ref="E18:K24" si="4">SUM(E19:E19)</f>
        <v>51118.31</v>
      </c>
      <c r="F18" s="174">
        <f t="shared" si="4"/>
        <v>236594.71000000002</v>
      </c>
      <c r="G18" s="174">
        <f t="shared" si="4"/>
        <v>51118.31</v>
      </c>
      <c r="H18" s="114">
        <f t="shared" si="4"/>
        <v>46369.1</v>
      </c>
      <c r="I18" s="114">
        <f t="shared" si="4"/>
        <v>46369.1</v>
      </c>
      <c r="J18" s="114">
        <f t="shared" si="4"/>
        <v>46369.1</v>
      </c>
      <c r="K18" s="174">
        <f t="shared" si="4"/>
        <v>46369.1</v>
      </c>
      <c r="L18" s="348" t="s">
        <v>155</v>
      </c>
      <c r="M18" s="348" t="s">
        <v>188</v>
      </c>
    </row>
    <row r="19" spans="1:13" s="92" customFormat="1" ht="103.5" customHeight="1" x14ac:dyDescent="0.2">
      <c r="A19" s="358"/>
      <c r="B19" s="353"/>
      <c r="C19" s="392"/>
      <c r="D19" s="93" t="s">
        <v>90</v>
      </c>
      <c r="E19" s="173">
        <f>G19</f>
        <v>51118.31</v>
      </c>
      <c r="F19" s="173">
        <f>G19+H19+I19+J19+K19</f>
        <v>236594.71000000002</v>
      </c>
      <c r="G19" s="173">
        <v>51118.31</v>
      </c>
      <c r="H19" s="183">
        <v>46369.1</v>
      </c>
      <c r="I19" s="183">
        <v>46369.1</v>
      </c>
      <c r="J19" s="183">
        <v>46369.1</v>
      </c>
      <c r="K19" s="173">
        <v>46369.1</v>
      </c>
      <c r="L19" s="349"/>
      <c r="M19" s="350"/>
    </row>
    <row r="20" spans="1:13" s="92" customFormat="1" ht="17.25" customHeight="1" x14ac:dyDescent="0.2">
      <c r="A20" s="358" t="s">
        <v>72</v>
      </c>
      <c r="B20" s="353" t="s">
        <v>214</v>
      </c>
      <c r="C20" s="261" t="s">
        <v>104</v>
      </c>
      <c r="D20" s="95" t="s">
        <v>31</v>
      </c>
      <c r="E20" s="174">
        <f t="shared" si="4"/>
        <v>2820</v>
      </c>
      <c r="F20" s="174">
        <f t="shared" si="4"/>
        <v>14785.4</v>
      </c>
      <c r="G20" s="174">
        <f t="shared" si="4"/>
        <v>2820</v>
      </c>
      <c r="H20" s="114">
        <f t="shared" si="4"/>
        <v>2932.7</v>
      </c>
      <c r="I20" s="114">
        <f t="shared" si="4"/>
        <v>2932.7</v>
      </c>
      <c r="J20" s="114">
        <f t="shared" si="4"/>
        <v>3050</v>
      </c>
      <c r="K20" s="174">
        <f t="shared" si="4"/>
        <v>3050</v>
      </c>
      <c r="L20" s="348" t="s">
        <v>155</v>
      </c>
      <c r="M20" s="348" t="s">
        <v>168</v>
      </c>
    </row>
    <row r="21" spans="1:13" s="92" customFormat="1" ht="96.75" customHeight="1" x14ac:dyDescent="0.2">
      <c r="A21" s="358"/>
      <c r="B21" s="353"/>
      <c r="C21" s="265"/>
      <c r="D21" s="93" t="s">
        <v>90</v>
      </c>
      <c r="E21" s="173">
        <f>G21</f>
        <v>2820</v>
      </c>
      <c r="F21" s="173">
        <f>G21+H21+I21+J21+K21</f>
        <v>14785.4</v>
      </c>
      <c r="G21" s="173">
        <v>2820</v>
      </c>
      <c r="H21" s="183">
        <v>2932.7</v>
      </c>
      <c r="I21" s="183">
        <v>2932.7</v>
      </c>
      <c r="J21" s="183">
        <v>3050</v>
      </c>
      <c r="K21" s="173">
        <v>3050</v>
      </c>
      <c r="L21" s="349"/>
      <c r="M21" s="350"/>
    </row>
    <row r="22" spans="1:13" s="92" customFormat="1" ht="17.25" customHeight="1" x14ac:dyDescent="0.2">
      <c r="A22" s="358" t="s">
        <v>73</v>
      </c>
      <c r="B22" s="353" t="s">
        <v>218</v>
      </c>
      <c r="C22" s="261" t="s">
        <v>104</v>
      </c>
      <c r="D22" s="95" t="s">
        <v>31</v>
      </c>
      <c r="E22" s="174">
        <f t="shared" si="4"/>
        <v>1165.0999999999999</v>
      </c>
      <c r="F22" s="174">
        <f t="shared" si="4"/>
        <v>5360.4</v>
      </c>
      <c r="G22" s="174">
        <f t="shared" si="4"/>
        <v>1165.0999999999999</v>
      </c>
      <c r="H22" s="114">
        <f t="shared" si="4"/>
        <v>700</v>
      </c>
      <c r="I22" s="114">
        <f t="shared" si="4"/>
        <v>1165.0999999999999</v>
      </c>
      <c r="J22" s="114">
        <f t="shared" si="4"/>
        <v>1165.0999999999999</v>
      </c>
      <c r="K22" s="174">
        <f t="shared" si="4"/>
        <v>1165.0999999999999</v>
      </c>
      <c r="L22" s="348" t="s">
        <v>155</v>
      </c>
      <c r="M22" s="348" t="s">
        <v>168</v>
      </c>
    </row>
    <row r="23" spans="1:13" s="92" customFormat="1" ht="97.5" customHeight="1" x14ac:dyDescent="0.2">
      <c r="A23" s="358"/>
      <c r="B23" s="353"/>
      <c r="C23" s="265"/>
      <c r="D23" s="93" t="s">
        <v>90</v>
      </c>
      <c r="E23" s="173">
        <f>G23</f>
        <v>1165.0999999999999</v>
      </c>
      <c r="F23" s="173">
        <f>G23+H23+I23+J23+K23</f>
        <v>5360.4</v>
      </c>
      <c r="G23" s="173">
        <v>1165.0999999999999</v>
      </c>
      <c r="H23" s="183">
        <v>700</v>
      </c>
      <c r="I23" s="183">
        <v>1165.0999999999999</v>
      </c>
      <c r="J23" s="183">
        <v>1165.0999999999999</v>
      </c>
      <c r="K23" s="173">
        <v>1165.0999999999999</v>
      </c>
      <c r="L23" s="349"/>
      <c r="M23" s="350"/>
    </row>
    <row r="24" spans="1:13" s="92" customFormat="1" ht="17.25" customHeight="1" x14ac:dyDescent="0.2">
      <c r="A24" s="358" t="s">
        <v>74</v>
      </c>
      <c r="B24" s="353" t="s">
        <v>245</v>
      </c>
      <c r="C24" s="261" t="s">
        <v>104</v>
      </c>
      <c r="D24" s="95" t="s">
        <v>31</v>
      </c>
      <c r="E24" s="174">
        <f t="shared" si="4"/>
        <v>1958.2</v>
      </c>
      <c r="F24" s="174">
        <f t="shared" si="4"/>
        <v>19289.599999999999</v>
      </c>
      <c r="G24" s="174">
        <f t="shared" si="4"/>
        <v>1958.2</v>
      </c>
      <c r="H24" s="114">
        <f t="shared" si="4"/>
        <v>3167.2</v>
      </c>
      <c r="I24" s="114">
        <f t="shared" si="4"/>
        <v>4721.3999999999996</v>
      </c>
      <c r="J24" s="114">
        <f t="shared" si="4"/>
        <v>4721.3999999999996</v>
      </c>
      <c r="K24" s="174">
        <f t="shared" si="4"/>
        <v>4721.3999999999996</v>
      </c>
      <c r="L24" s="348" t="s">
        <v>155</v>
      </c>
      <c r="M24" s="348" t="s">
        <v>168</v>
      </c>
    </row>
    <row r="25" spans="1:13" s="92" customFormat="1" ht="114" customHeight="1" x14ac:dyDescent="0.2">
      <c r="A25" s="358"/>
      <c r="B25" s="353"/>
      <c r="C25" s="265"/>
      <c r="D25" s="93" t="s">
        <v>90</v>
      </c>
      <c r="E25" s="173">
        <f>G25</f>
        <v>1958.2</v>
      </c>
      <c r="F25" s="173">
        <f>G25+H25+I25+J25+K25</f>
        <v>19289.599999999999</v>
      </c>
      <c r="G25" s="173">
        <v>1958.2</v>
      </c>
      <c r="H25" s="183">
        <v>3167.2</v>
      </c>
      <c r="I25" s="183">
        <v>4721.3999999999996</v>
      </c>
      <c r="J25" s="183">
        <v>4721.3999999999996</v>
      </c>
      <c r="K25" s="173">
        <v>4721.3999999999996</v>
      </c>
      <c r="L25" s="349"/>
      <c r="M25" s="350"/>
    </row>
    <row r="26" spans="1:13" s="92" customFormat="1" ht="20.25" customHeight="1" x14ac:dyDescent="0.2">
      <c r="A26" s="358" t="s">
        <v>75</v>
      </c>
      <c r="B26" s="353" t="s">
        <v>216</v>
      </c>
      <c r="C26" s="261" t="s">
        <v>104</v>
      </c>
      <c r="D26" s="95" t="s">
        <v>31</v>
      </c>
      <c r="E26" s="174">
        <f t="shared" ref="E26:K28" si="5">SUM(E27:E27)</f>
        <v>879.96755000000007</v>
      </c>
      <c r="F26" s="174">
        <f t="shared" si="5"/>
        <v>8527.10527</v>
      </c>
      <c r="G26" s="174">
        <f t="shared" si="5"/>
        <v>879.96755000000007</v>
      </c>
      <c r="H26" s="114">
        <f t="shared" si="5"/>
        <v>1347.1377199999999</v>
      </c>
      <c r="I26" s="114">
        <f t="shared" si="5"/>
        <v>2100</v>
      </c>
      <c r="J26" s="114">
        <f t="shared" si="5"/>
        <v>2100</v>
      </c>
      <c r="K26" s="174">
        <f t="shared" si="5"/>
        <v>2100</v>
      </c>
      <c r="L26" s="348" t="s">
        <v>155</v>
      </c>
      <c r="M26" s="348" t="s">
        <v>170</v>
      </c>
    </row>
    <row r="27" spans="1:13" s="92" customFormat="1" ht="60" customHeight="1" x14ac:dyDescent="0.2">
      <c r="A27" s="358"/>
      <c r="B27" s="353"/>
      <c r="C27" s="265"/>
      <c r="D27" s="93" t="s">
        <v>90</v>
      </c>
      <c r="E27" s="173">
        <f>G27</f>
        <v>879.96755000000007</v>
      </c>
      <c r="F27" s="173">
        <f>G27+H27+I27+J27+K27</f>
        <v>8527.10527</v>
      </c>
      <c r="G27" s="173">
        <f>879967.55/1000</f>
        <v>879.96755000000007</v>
      </c>
      <c r="H27" s="183">
        <f>1347137.72/1000</f>
        <v>1347.1377199999999</v>
      </c>
      <c r="I27" s="183">
        <v>2100</v>
      </c>
      <c r="J27" s="183">
        <v>2100</v>
      </c>
      <c r="K27" s="173">
        <v>2100</v>
      </c>
      <c r="L27" s="349"/>
      <c r="M27" s="350"/>
    </row>
    <row r="28" spans="1:13" s="92" customFormat="1" ht="20.25" customHeight="1" x14ac:dyDescent="0.2">
      <c r="A28" s="358" t="s">
        <v>108</v>
      </c>
      <c r="B28" s="353" t="s">
        <v>219</v>
      </c>
      <c r="C28" s="261" t="s">
        <v>104</v>
      </c>
      <c r="D28" s="95" t="s">
        <v>31</v>
      </c>
      <c r="E28" s="174">
        <f t="shared" si="5"/>
        <v>846.1</v>
      </c>
      <c r="F28" s="174">
        <f t="shared" si="5"/>
        <v>6906.1</v>
      </c>
      <c r="G28" s="174">
        <f t="shared" si="5"/>
        <v>846.1</v>
      </c>
      <c r="H28" s="114">
        <f t="shared" si="5"/>
        <v>0</v>
      </c>
      <c r="I28" s="114">
        <f t="shared" si="5"/>
        <v>2020</v>
      </c>
      <c r="J28" s="114">
        <f t="shared" si="5"/>
        <v>2020</v>
      </c>
      <c r="K28" s="174">
        <f t="shared" si="5"/>
        <v>2020</v>
      </c>
      <c r="L28" s="348" t="s">
        <v>155</v>
      </c>
      <c r="M28" s="348" t="s">
        <v>211</v>
      </c>
    </row>
    <row r="29" spans="1:13" s="92" customFormat="1" ht="76.5" customHeight="1" x14ac:dyDescent="0.2">
      <c r="A29" s="358"/>
      <c r="B29" s="353"/>
      <c r="C29" s="265"/>
      <c r="D29" s="93" t="s">
        <v>90</v>
      </c>
      <c r="E29" s="173">
        <f>G29</f>
        <v>846.1</v>
      </c>
      <c r="F29" s="173">
        <f>G29+H29+I29+J29+K29</f>
        <v>6906.1</v>
      </c>
      <c r="G29" s="173">
        <f>(39100+807000)/1000</f>
        <v>846.1</v>
      </c>
      <c r="H29" s="183">
        <v>0</v>
      </c>
      <c r="I29" s="183">
        <v>2020</v>
      </c>
      <c r="J29" s="183">
        <v>2020</v>
      </c>
      <c r="K29" s="173">
        <v>2020</v>
      </c>
      <c r="L29" s="349"/>
      <c r="M29" s="350"/>
    </row>
    <row r="30" spans="1:13" s="92" customFormat="1" ht="21.75" customHeight="1" x14ac:dyDescent="0.2">
      <c r="A30" s="358" t="s">
        <v>109</v>
      </c>
      <c r="B30" s="353" t="s">
        <v>220</v>
      </c>
      <c r="C30" s="261" t="s">
        <v>104</v>
      </c>
      <c r="D30" s="95" t="s">
        <v>31</v>
      </c>
      <c r="E30" s="174">
        <f t="shared" ref="E30:K30" si="6">SUM(E31:E31)</f>
        <v>50</v>
      </c>
      <c r="F30" s="174">
        <f t="shared" si="6"/>
        <v>190</v>
      </c>
      <c r="G30" s="174">
        <f t="shared" si="6"/>
        <v>0</v>
      </c>
      <c r="H30" s="114">
        <f t="shared" si="6"/>
        <v>40</v>
      </c>
      <c r="I30" s="114">
        <f t="shared" si="6"/>
        <v>50</v>
      </c>
      <c r="J30" s="114">
        <f t="shared" si="6"/>
        <v>50</v>
      </c>
      <c r="K30" s="174">
        <f t="shared" si="6"/>
        <v>50</v>
      </c>
      <c r="L30" s="348" t="s">
        <v>155</v>
      </c>
      <c r="M30" s="348" t="s">
        <v>171</v>
      </c>
    </row>
    <row r="31" spans="1:13" s="92" customFormat="1" ht="54.75" customHeight="1" x14ac:dyDescent="0.2">
      <c r="A31" s="358"/>
      <c r="B31" s="353"/>
      <c r="C31" s="265"/>
      <c r="D31" s="93" t="s">
        <v>90</v>
      </c>
      <c r="E31" s="173">
        <f>I31</f>
        <v>50</v>
      </c>
      <c r="F31" s="173">
        <f>G31+H31+I31+J31+K31</f>
        <v>190</v>
      </c>
      <c r="G31" s="173">
        <v>0</v>
      </c>
      <c r="H31" s="183">
        <v>40</v>
      </c>
      <c r="I31" s="183">
        <v>50</v>
      </c>
      <c r="J31" s="183">
        <v>50</v>
      </c>
      <c r="K31" s="173">
        <v>50</v>
      </c>
      <c r="L31" s="349"/>
      <c r="M31" s="350"/>
    </row>
    <row r="32" spans="1:13" s="92" customFormat="1" ht="14.25" customHeight="1" x14ac:dyDescent="0.2">
      <c r="A32" s="358" t="s">
        <v>142</v>
      </c>
      <c r="B32" s="353" t="s">
        <v>244</v>
      </c>
      <c r="C32" s="261" t="s">
        <v>104</v>
      </c>
      <c r="D32" s="95" t="s">
        <v>31</v>
      </c>
      <c r="E32" s="174">
        <f t="shared" ref="E32:K32" si="7">SUM(E33:E33)</f>
        <v>56.567999999999998</v>
      </c>
      <c r="F32" s="174">
        <f t="shared" si="7"/>
        <v>1136.568</v>
      </c>
      <c r="G32" s="174">
        <f t="shared" si="7"/>
        <v>56.567999999999998</v>
      </c>
      <c r="H32" s="114">
        <f t="shared" si="7"/>
        <v>0</v>
      </c>
      <c r="I32" s="114">
        <f t="shared" si="7"/>
        <v>360</v>
      </c>
      <c r="J32" s="114">
        <f t="shared" si="7"/>
        <v>360</v>
      </c>
      <c r="K32" s="174">
        <f t="shared" si="7"/>
        <v>360</v>
      </c>
      <c r="L32" s="348" t="s">
        <v>155</v>
      </c>
      <c r="M32" s="348" t="s">
        <v>212</v>
      </c>
    </row>
    <row r="33" spans="1:13" s="92" customFormat="1" ht="120.75" customHeight="1" x14ac:dyDescent="0.2">
      <c r="A33" s="358"/>
      <c r="B33" s="353"/>
      <c r="C33" s="265"/>
      <c r="D33" s="93" t="s">
        <v>90</v>
      </c>
      <c r="E33" s="173">
        <f>G33</f>
        <v>56.567999999999998</v>
      </c>
      <c r="F33" s="173">
        <f>G33+H33+I33+J33+K33</f>
        <v>1136.568</v>
      </c>
      <c r="G33" s="173">
        <f>56568/1000</f>
        <v>56.567999999999998</v>
      </c>
      <c r="H33" s="183">
        <v>0</v>
      </c>
      <c r="I33" s="183">
        <v>360</v>
      </c>
      <c r="J33" s="183">
        <v>360</v>
      </c>
      <c r="K33" s="173">
        <v>360</v>
      </c>
      <c r="L33" s="349"/>
      <c r="M33" s="350"/>
    </row>
    <row r="34" spans="1:13" s="92" customFormat="1" ht="14.25" customHeight="1" x14ac:dyDescent="0.2">
      <c r="A34" s="358" t="s">
        <v>143</v>
      </c>
      <c r="B34" s="353" t="s">
        <v>221</v>
      </c>
      <c r="C34" s="261" t="s">
        <v>104</v>
      </c>
      <c r="D34" s="95" t="s">
        <v>31</v>
      </c>
      <c r="E34" s="174">
        <f t="shared" ref="E34:K34" si="8">SUM(E35:E35)</f>
        <v>200</v>
      </c>
      <c r="F34" s="174">
        <f t="shared" si="8"/>
        <v>1475</v>
      </c>
      <c r="G34" s="174">
        <f t="shared" si="8"/>
        <v>200</v>
      </c>
      <c r="H34" s="114">
        <f t="shared" si="8"/>
        <v>0</v>
      </c>
      <c r="I34" s="114">
        <f t="shared" si="8"/>
        <v>425</v>
      </c>
      <c r="J34" s="114">
        <f t="shared" si="8"/>
        <v>425</v>
      </c>
      <c r="K34" s="174">
        <f t="shared" si="8"/>
        <v>425</v>
      </c>
      <c r="L34" s="348" t="s">
        <v>155</v>
      </c>
      <c r="M34" s="348" t="s">
        <v>189</v>
      </c>
    </row>
    <row r="35" spans="1:13" s="92" customFormat="1" ht="51" customHeight="1" x14ac:dyDescent="0.2">
      <c r="A35" s="358"/>
      <c r="B35" s="397"/>
      <c r="C35" s="264"/>
      <c r="D35" s="96" t="s">
        <v>90</v>
      </c>
      <c r="E35" s="175">
        <f>G35</f>
        <v>200</v>
      </c>
      <c r="F35" s="175">
        <f>G35+H35+I35+J35+K35</f>
        <v>1475</v>
      </c>
      <c r="G35" s="176">
        <v>200</v>
      </c>
      <c r="H35" s="179">
        <v>0</v>
      </c>
      <c r="I35" s="179">
        <v>425</v>
      </c>
      <c r="J35" s="179">
        <v>425</v>
      </c>
      <c r="K35" s="176">
        <v>425</v>
      </c>
      <c r="L35" s="349"/>
      <c r="M35" s="349"/>
    </row>
    <row r="36" spans="1:13" s="92" customFormat="1" ht="14.25" customHeight="1" x14ac:dyDescent="0.2">
      <c r="A36" s="339" t="s">
        <v>197</v>
      </c>
      <c r="B36" s="382" t="s">
        <v>215</v>
      </c>
      <c r="C36" s="261" t="s">
        <v>104</v>
      </c>
      <c r="D36" s="95" t="s">
        <v>31</v>
      </c>
      <c r="E36" s="174">
        <f t="shared" ref="E36:K40" si="9">SUM(E37:E37)</f>
        <v>194.82329999999999</v>
      </c>
      <c r="F36" s="174">
        <f t="shared" si="9"/>
        <v>1394.8233</v>
      </c>
      <c r="G36" s="174">
        <f t="shared" si="9"/>
        <v>194.82329999999999</v>
      </c>
      <c r="H36" s="114">
        <f t="shared" si="9"/>
        <v>300</v>
      </c>
      <c r="I36" s="114">
        <f t="shared" si="9"/>
        <v>300</v>
      </c>
      <c r="J36" s="114">
        <f t="shared" si="9"/>
        <v>300</v>
      </c>
      <c r="K36" s="174">
        <f t="shared" si="9"/>
        <v>300</v>
      </c>
      <c r="L36" s="348" t="s">
        <v>155</v>
      </c>
      <c r="M36" s="348" t="s">
        <v>184</v>
      </c>
    </row>
    <row r="37" spans="1:13" s="92" customFormat="1" ht="82.5" customHeight="1" x14ac:dyDescent="0.2">
      <c r="A37" s="341"/>
      <c r="B37" s="383"/>
      <c r="C37" s="264"/>
      <c r="D37" s="96" t="s">
        <v>90</v>
      </c>
      <c r="E37" s="175">
        <f>G37</f>
        <v>194.82329999999999</v>
      </c>
      <c r="F37" s="175">
        <f>G37+H37+I37+J37+K37</f>
        <v>1394.8233</v>
      </c>
      <c r="G37" s="173">
        <f>194823.3/1000</f>
        <v>194.82329999999999</v>
      </c>
      <c r="H37" s="183">
        <f>(300000)/1000</f>
        <v>300</v>
      </c>
      <c r="I37" s="183">
        <v>300</v>
      </c>
      <c r="J37" s="183">
        <v>300</v>
      </c>
      <c r="K37" s="173">
        <v>300</v>
      </c>
      <c r="L37" s="349"/>
      <c r="M37" s="350"/>
    </row>
    <row r="38" spans="1:13" s="92" customFormat="1" ht="14.25" customHeight="1" x14ac:dyDescent="0.2">
      <c r="A38" s="339" t="s">
        <v>276</v>
      </c>
      <c r="B38" s="382" t="s">
        <v>278</v>
      </c>
      <c r="C38" s="261" t="s">
        <v>104</v>
      </c>
      <c r="D38" s="95" t="s">
        <v>31</v>
      </c>
      <c r="E38" s="174">
        <f t="shared" si="9"/>
        <v>99.5</v>
      </c>
      <c r="F38" s="174">
        <f t="shared" si="9"/>
        <v>897.5</v>
      </c>
      <c r="G38" s="174">
        <f t="shared" si="9"/>
        <v>99.5</v>
      </c>
      <c r="H38" s="114">
        <f t="shared" si="9"/>
        <v>198</v>
      </c>
      <c r="I38" s="114">
        <f t="shared" si="9"/>
        <v>200</v>
      </c>
      <c r="J38" s="114">
        <f t="shared" si="9"/>
        <v>200</v>
      </c>
      <c r="K38" s="174">
        <f t="shared" si="9"/>
        <v>200</v>
      </c>
      <c r="L38" s="348" t="s">
        <v>155</v>
      </c>
      <c r="M38" s="348" t="s">
        <v>280</v>
      </c>
    </row>
    <row r="39" spans="1:13" s="92" customFormat="1" ht="82.5" customHeight="1" x14ac:dyDescent="0.2">
      <c r="A39" s="341"/>
      <c r="B39" s="383"/>
      <c r="C39" s="264"/>
      <c r="D39" s="96" t="s">
        <v>90</v>
      </c>
      <c r="E39" s="175">
        <f>G39</f>
        <v>99.5</v>
      </c>
      <c r="F39" s="175">
        <f>G39+H39+I39+J39+K39</f>
        <v>897.5</v>
      </c>
      <c r="G39" s="173">
        <f>99500/1000</f>
        <v>99.5</v>
      </c>
      <c r="H39" s="183">
        <v>198</v>
      </c>
      <c r="I39" s="183">
        <v>200</v>
      </c>
      <c r="J39" s="183">
        <v>200</v>
      </c>
      <c r="K39" s="173">
        <v>200</v>
      </c>
      <c r="L39" s="349"/>
      <c r="M39" s="350"/>
    </row>
    <row r="40" spans="1:13" s="92" customFormat="1" ht="14.25" customHeight="1" x14ac:dyDescent="0.2">
      <c r="A40" s="339" t="s">
        <v>277</v>
      </c>
      <c r="B40" s="382" t="s">
        <v>279</v>
      </c>
      <c r="C40" s="261" t="s">
        <v>104</v>
      </c>
      <c r="D40" s="95" t="s">
        <v>31</v>
      </c>
      <c r="E40" s="174">
        <f t="shared" si="9"/>
        <v>21.726299999999998</v>
      </c>
      <c r="F40" s="174">
        <f t="shared" si="9"/>
        <v>120.72629999999999</v>
      </c>
      <c r="G40" s="174">
        <f t="shared" si="9"/>
        <v>21.726299999999998</v>
      </c>
      <c r="H40" s="114">
        <f t="shared" si="9"/>
        <v>24</v>
      </c>
      <c r="I40" s="114">
        <f t="shared" si="9"/>
        <v>25</v>
      </c>
      <c r="J40" s="114">
        <f t="shared" si="9"/>
        <v>25</v>
      </c>
      <c r="K40" s="174">
        <f t="shared" si="9"/>
        <v>25</v>
      </c>
      <c r="L40" s="362" t="s">
        <v>353</v>
      </c>
      <c r="M40" s="348" t="s">
        <v>281</v>
      </c>
    </row>
    <row r="41" spans="1:13" s="92" customFormat="1" ht="82.5" customHeight="1" x14ac:dyDescent="0.2">
      <c r="A41" s="341"/>
      <c r="B41" s="383"/>
      <c r="C41" s="264"/>
      <c r="D41" s="96" t="s">
        <v>90</v>
      </c>
      <c r="E41" s="175">
        <f>G41</f>
        <v>21.726299999999998</v>
      </c>
      <c r="F41" s="175">
        <f>G41+H41+I41+J41+K41</f>
        <v>120.72629999999999</v>
      </c>
      <c r="G41" s="173">
        <f>21726.3/1000</f>
        <v>21.726299999999998</v>
      </c>
      <c r="H41" s="183">
        <v>24</v>
      </c>
      <c r="I41" s="183">
        <v>25</v>
      </c>
      <c r="J41" s="183">
        <v>25</v>
      </c>
      <c r="K41" s="173">
        <v>25</v>
      </c>
      <c r="L41" s="363"/>
      <c r="M41" s="350"/>
    </row>
    <row r="42" spans="1:13" s="92" customFormat="1" ht="18.75" customHeight="1" x14ac:dyDescent="0.2">
      <c r="A42" s="358" t="s">
        <v>147</v>
      </c>
      <c r="B42" s="353" t="s">
        <v>351</v>
      </c>
      <c r="C42" s="261" t="s">
        <v>104</v>
      </c>
      <c r="D42" s="95" t="s">
        <v>31</v>
      </c>
      <c r="E42" s="174">
        <f>E43</f>
        <v>0</v>
      </c>
      <c r="F42" s="174">
        <f t="shared" ref="F42:F43" si="10">SUM(G42:K42)</f>
        <v>590</v>
      </c>
      <c r="G42" s="174">
        <f>G43</f>
        <v>0</v>
      </c>
      <c r="H42" s="114">
        <f>H43</f>
        <v>590</v>
      </c>
      <c r="I42" s="114">
        <f>I43</f>
        <v>0</v>
      </c>
      <c r="J42" s="114">
        <f>J43</f>
        <v>0</v>
      </c>
      <c r="K42" s="174">
        <f t="shared" ref="K42" si="11">K43</f>
        <v>0</v>
      </c>
      <c r="L42" s="362" t="s">
        <v>353</v>
      </c>
      <c r="M42" s="348" t="s">
        <v>174</v>
      </c>
    </row>
    <row r="43" spans="1:13" s="92" customFormat="1" ht="56.25" customHeight="1" x14ac:dyDescent="0.2">
      <c r="A43" s="358"/>
      <c r="B43" s="353"/>
      <c r="C43" s="265"/>
      <c r="D43" s="126" t="s">
        <v>70</v>
      </c>
      <c r="E43" s="173">
        <f>G43</f>
        <v>0</v>
      </c>
      <c r="F43" s="173">
        <f t="shared" si="10"/>
        <v>590</v>
      </c>
      <c r="G43" s="173">
        <v>0</v>
      </c>
      <c r="H43" s="183">
        <v>590</v>
      </c>
      <c r="I43" s="183">
        <v>0</v>
      </c>
      <c r="J43" s="183">
        <v>0</v>
      </c>
      <c r="K43" s="173">
        <v>0</v>
      </c>
      <c r="L43" s="363"/>
      <c r="M43" s="349"/>
    </row>
    <row r="44" spans="1:13" s="92" customFormat="1" ht="17.25" customHeight="1" x14ac:dyDescent="0.2">
      <c r="A44" s="339" t="s">
        <v>46</v>
      </c>
      <c r="B44" s="376" t="s">
        <v>162</v>
      </c>
      <c r="C44" s="377"/>
      <c r="D44" s="95" t="s">
        <v>31</v>
      </c>
      <c r="E44" s="174">
        <f>E45+E46</f>
        <v>32751.842400000001</v>
      </c>
      <c r="F44" s="174">
        <f>F45+F46</f>
        <v>49612.642399999997</v>
      </c>
      <c r="G44" s="174">
        <f>SUM(G45:G46)</f>
        <v>32751.842400000001</v>
      </c>
      <c r="H44" s="114">
        <f t="shared" ref="H44:K44" si="12">SUM(H45:H46)</f>
        <v>8921.6</v>
      </c>
      <c r="I44" s="114">
        <f t="shared" si="12"/>
        <v>7939.2</v>
      </c>
      <c r="J44" s="114">
        <f t="shared" si="12"/>
        <v>0</v>
      </c>
      <c r="K44" s="174">
        <f t="shared" si="12"/>
        <v>0</v>
      </c>
      <c r="L44" s="348" t="s">
        <v>354</v>
      </c>
      <c r="M44" s="348"/>
    </row>
    <row r="45" spans="1:13" s="92" customFormat="1" ht="45" customHeight="1" x14ac:dyDescent="0.2">
      <c r="A45" s="340"/>
      <c r="B45" s="378"/>
      <c r="C45" s="379"/>
      <c r="D45" s="94" t="s">
        <v>86</v>
      </c>
      <c r="E45" s="173">
        <f>G45</f>
        <v>6327.4724000000006</v>
      </c>
      <c r="F45" s="173">
        <f>SUM(G45:K45)</f>
        <v>23188.272400000002</v>
      </c>
      <c r="G45" s="173">
        <f>G48+G62+G50+G53</f>
        <v>6327.4724000000006</v>
      </c>
      <c r="H45" s="183">
        <f>H48+H62+H50+H53+H56</f>
        <v>8921.6</v>
      </c>
      <c r="I45" s="183">
        <f>I48+I62+I50+I53+I56+I59</f>
        <v>7939.2</v>
      </c>
      <c r="J45" s="183">
        <f t="shared" ref="J45:K45" si="13">J48+J62+J50+J53+J56</f>
        <v>0</v>
      </c>
      <c r="K45" s="183">
        <f t="shared" si="13"/>
        <v>0</v>
      </c>
      <c r="L45" s="349"/>
      <c r="M45" s="349"/>
    </row>
    <row r="46" spans="1:13" s="92" customFormat="1" ht="39.75" customHeight="1" x14ac:dyDescent="0.2">
      <c r="A46" s="341"/>
      <c r="B46" s="380"/>
      <c r="C46" s="381"/>
      <c r="D46" s="93" t="s">
        <v>12</v>
      </c>
      <c r="E46" s="173">
        <f>G46</f>
        <v>26424.37</v>
      </c>
      <c r="F46" s="173">
        <f>SUM(G46:K46)</f>
        <v>26424.37</v>
      </c>
      <c r="G46" s="173">
        <f>G52</f>
        <v>26424.37</v>
      </c>
      <c r="H46" s="183">
        <f>H61</f>
        <v>0</v>
      </c>
      <c r="I46" s="183">
        <f>I61</f>
        <v>0</v>
      </c>
      <c r="J46" s="183">
        <f>J61</f>
        <v>0</v>
      </c>
      <c r="K46" s="173">
        <f>K61</f>
        <v>0</v>
      </c>
      <c r="L46" s="350"/>
      <c r="M46" s="350"/>
    </row>
    <row r="47" spans="1:13" s="92" customFormat="1" ht="15.75" x14ac:dyDescent="0.2">
      <c r="A47" s="358" t="s">
        <v>58</v>
      </c>
      <c r="B47" s="353" t="s">
        <v>68</v>
      </c>
      <c r="C47" s="345" t="s">
        <v>104</v>
      </c>
      <c r="D47" s="95" t="s">
        <v>11</v>
      </c>
      <c r="E47" s="174">
        <f>E48</f>
        <v>0</v>
      </c>
      <c r="F47" s="174">
        <f t="shared" ref="F47:K47" si="14">F48</f>
        <v>0</v>
      </c>
      <c r="G47" s="174">
        <f t="shared" si="14"/>
        <v>0</v>
      </c>
      <c r="H47" s="114">
        <f t="shared" si="14"/>
        <v>0</v>
      </c>
      <c r="I47" s="114">
        <f t="shared" si="14"/>
        <v>0</v>
      </c>
      <c r="J47" s="114">
        <f t="shared" si="14"/>
        <v>0</v>
      </c>
      <c r="K47" s="174">
        <f t="shared" si="14"/>
        <v>0</v>
      </c>
      <c r="L47" s="348" t="s">
        <v>155</v>
      </c>
      <c r="M47" s="348"/>
    </row>
    <row r="48" spans="1:13" s="92" customFormat="1" ht="81.75" customHeight="1" x14ac:dyDescent="0.2">
      <c r="A48" s="358"/>
      <c r="B48" s="353"/>
      <c r="C48" s="347"/>
      <c r="D48" s="93" t="s">
        <v>90</v>
      </c>
      <c r="E48" s="173">
        <f>I48</f>
        <v>0</v>
      </c>
      <c r="F48" s="173">
        <f>G48+H48+I48+J48+K48</f>
        <v>0</v>
      </c>
      <c r="G48" s="173">
        <v>0</v>
      </c>
      <c r="H48" s="183">
        <v>0</v>
      </c>
      <c r="I48" s="183">
        <v>0</v>
      </c>
      <c r="J48" s="183">
        <v>0</v>
      </c>
      <c r="K48" s="173">
        <v>0</v>
      </c>
      <c r="L48" s="350"/>
      <c r="M48" s="350"/>
    </row>
    <row r="49" spans="1:13" s="92" customFormat="1" ht="15" customHeight="1" x14ac:dyDescent="0.2">
      <c r="A49" s="339" t="s">
        <v>176</v>
      </c>
      <c r="B49" s="342" t="s">
        <v>284</v>
      </c>
      <c r="C49" s="345" t="s">
        <v>104</v>
      </c>
      <c r="D49" s="95" t="s">
        <v>31</v>
      </c>
      <c r="E49" s="174">
        <f t="shared" ref="E49:K49" si="15">SUM(E50:E50)</f>
        <v>799.76240000000007</v>
      </c>
      <c r="F49" s="174">
        <f t="shared" si="15"/>
        <v>2899.7624000000001</v>
      </c>
      <c r="G49" s="174">
        <f t="shared" si="15"/>
        <v>799.76240000000007</v>
      </c>
      <c r="H49" s="114">
        <f t="shared" si="15"/>
        <v>2100</v>
      </c>
      <c r="I49" s="114">
        <f t="shared" si="15"/>
        <v>0</v>
      </c>
      <c r="J49" s="114">
        <f t="shared" si="15"/>
        <v>0</v>
      </c>
      <c r="K49" s="174">
        <f t="shared" si="15"/>
        <v>0</v>
      </c>
      <c r="L49" s="349" t="s">
        <v>155</v>
      </c>
      <c r="M49" s="348" t="s">
        <v>294</v>
      </c>
    </row>
    <row r="50" spans="1:13" s="92" customFormat="1" ht="66.75" customHeight="1" x14ac:dyDescent="0.2">
      <c r="A50" s="341"/>
      <c r="B50" s="344"/>
      <c r="C50" s="347"/>
      <c r="D50" s="93" t="s">
        <v>90</v>
      </c>
      <c r="E50" s="173">
        <f>G50</f>
        <v>799.76240000000007</v>
      </c>
      <c r="F50" s="173">
        <f>G50+H50+I50+J50+K50</f>
        <v>2899.7624000000001</v>
      </c>
      <c r="G50" s="173">
        <f>799762.4/1000</f>
        <v>799.76240000000007</v>
      </c>
      <c r="H50" s="183">
        <v>2100</v>
      </c>
      <c r="I50" s="183">
        <v>0</v>
      </c>
      <c r="J50" s="183">
        <v>0</v>
      </c>
      <c r="K50" s="173">
        <v>0</v>
      </c>
      <c r="L50" s="350"/>
      <c r="M50" s="350"/>
    </row>
    <row r="51" spans="1:13" s="92" customFormat="1" ht="15" customHeight="1" x14ac:dyDescent="0.2">
      <c r="A51" s="339" t="s">
        <v>190</v>
      </c>
      <c r="B51" s="342" t="s">
        <v>285</v>
      </c>
      <c r="C51" s="345" t="s">
        <v>104</v>
      </c>
      <c r="D51" s="95" t="s">
        <v>31</v>
      </c>
      <c r="E51" s="174">
        <f t="shared" ref="E51:K51" si="16">SUM(E52:E53)</f>
        <v>31952.079999999998</v>
      </c>
      <c r="F51" s="174">
        <f t="shared" si="16"/>
        <v>31952.079999999998</v>
      </c>
      <c r="G51" s="174">
        <f t="shared" si="16"/>
        <v>31952.079999999998</v>
      </c>
      <c r="H51" s="114">
        <f t="shared" si="16"/>
        <v>0</v>
      </c>
      <c r="I51" s="114">
        <f t="shared" si="16"/>
        <v>0</v>
      </c>
      <c r="J51" s="114">
        <f t="shared" si="16"/>
        <v>0</v>
      </c>
      <c r="K51" s="174">
        <f t="shared" si="16"/>
        <v>0</v>
      </c>
      <c r="L51" s="348" t="s">
        <v>155</v>
      </c>
      <c r="M51" s="348" t="s">
        <v>274</v>
      </c>
    </row>
    <row r="52" spans="1:13" s="92" customFormat="1" ht="38.25" customHeight="1" x14ac:dyDescent="0.2">
      <c r="A52" s="340"/>
      <c r="B52" s="343"/>
      <c r="C52" s="346"/>
      <c r="D52" s="146" t="s">
        <v>12</v>
      </c>
      <c r="E52" s="173">
        <f>G52</f>
        <v>26424.37</v>
      </c>
      <c r="F52" s="173">
        <f>G52+H52+I52+J52+K52</f>
        <v>26424.37</v>
      </c>
      <c r="G52" s="173">
        <f>26424370/1000</f>
        <v>26424.37</v>
      </c>
      <c r="H52" s="183">
        <v>0</v>
      </c>
      <c r="I52" s="183">
        <v>0</v>
      </c>
      <c r="J52" s="183">
        <v>0</v>
      </c>
      <c r="K52" s="173">
        <v>0</v>
      </c>
      <c r="L52" s="349"/>
      <c r="M52" s="349"/>
    </row>
    <row r="53" spans="1:13" s="92" customFormat="1" ht="46.5" customHeight="1" x14ac:dyDescent="0.2">
      <c r="A53" s="341"/>
      <c r="B53" s="344"/>
      <c r="C53" s="347"/>
      <c r="D53" s="146" t="s">
        <v>90</v>
      </c>
      <c r="E53" s="173">
        <f>G53</f>
        <v>5527.71</v>
      </c>
      <c r="F53" s="173">
        <f>G53+H53+I53+J53+K53</f>
        <v>5527.71</v>
      </c>
      <c r="G53" s="177">
        <f>5527710/1000</f>
        <v>5527.71</v>
      </c>
      <c r="H53" s="183">
        <v>0</v>
      </c>
      <c r="I53" s="183">
        <v>0</v>
      </c>
      <c r="J53" s="183">
        <v>0</v>
      </c>
      <c r="K53" s="173">
        <v>0</v>
      </c>
      <c r="L53" s="350"/>
      <c r="M53" s="350"/>
    </row>
    <row r="54" spans="1:13" s="92" customFormat="1" ht="15" customHeight="1" x14ac:dyDescent="0.2">
      <c r="A54" s="339" t="s">
        <v>366</v>
      </c>
      <c r="B54" s="342" t="s">
        <v>369</v>
      </c>
      <c r="C54" s="345" t="s">
        <v>104</v>
      </c>
      <c r="D54" s="95" t="s">
        <v>31</v>
      </c>
      <c r="E54" s="174">
        <f t="shared" ref="E54:K54" si="17">SUM(E55:E56)</f>
        <v>0</v>
      </c>
      <c r="F54" s="174">
        <f t="shared" si="17"/>
        <v>7291.2</v>
      </c>
      <c r="G54" s="174">
        <f t="shared" si="17"/>
        <v>0</v>
      </c>
      <c r="H54" s="114">
        <f t="shared" si="17"/>
        <v>3321.6</v>
      </c>
      <c r="I54" s="114">
        <f t="shared" si="17"/>
        <v>3969.6</v>
      </c>
      <c r="J54" s="114">
        <f t="shared" si="17"/>
        <v>0</v>
      </c>
      <c r="K54" s="174">
        <f t="shared" si="17"/>
        <v>0</v>
      </c>
      <c r="L54" s="348" t="s">
        <v>155</v>
      </c>
      <c r="M54" s="348" t="s">
        <v>370</v>
      </c>
    </row>
    <row r="55" spans="1:13" s="92" customFormat="1" ht="38.25" customHeight="1" x14ac:dyDescent="0.2">
      <c r="A55" s="340"/>
      <c r="B55" s="343"/>
      <c r="C55" s="346"/>
      <c r="D55" s="146" t="s">
        <v>12</v>
      </c>
      <c r="E55" s="173">
        <f>G55</f>
        <v>0</v>
      </c>
      <c r="F55" s="173">
        <f>G55+H55+I55+J55+K55</f>
        <v>0</v>
      </c>
      <c r="G55" s="173">
        <v>0</v>
      </c>
      <c r="H55" s="183">
        <v>0</v>
      </c>
      <c r="I55" s="183">
        <v>0</v>
      </c>
      <c r="J55" s="183">
        <v>0</v>
      </c>
      <c r="K55" s="173">
        <v>0</v>
      </c>
      <c r="L55" s="349"/>
      <c r="M55" s="349"/>
    </row>
    <row r="56" spans="1:13" s="92" customFormat="1" ht="63" customHeight="1" x14ac:dyDescent="0.2">
      <c r="A56" s="341"/>
      <c r="B56" s="344"/>
      <c r="C56" s="347"/>
      <c r="D56" s="146" t="s">
        <v>90</v>
      </c>
      <c r="E56" s="173">
        <f>G56</f>
        <v>0</v>
      </c>
      <c r="F56" s="173">
        <f>G56+H56+I56+J56+K56</f>
        <v>7291.2</v>
      </c>
      <c r="G56" s="177">
        <v>0</v>
      </c>
      <c r="H56" s="183">
        <f>1660.8+1660.8</f>
        <v>3321.6</v>
      </c>
      <c r="I56" s="183">
        <f>3969600/1000</f>
        <v>3969.6</v>
      </c>
      <c r="J56" s="183">
        <v>0</v>
      </c>
      <c r="K56" s="173">
        <v>0</v>
      </c>
      <c r="L56" s="350"/>
      <c r="M56" s="350"/>
    </row>
    <row r="57" spans="1:13" s="92" customFormat="1" ht="15" customHeight="1" x14ac:dyDescent="0.2">
      <c r="A57" s="339" t="s">
        <v>367</v>
      </c>
      <c r="B57" s="342" t="s">
        <v>368</v>
      </c>
      <c r="C57" s="345" t="s">
        <v>104</v>
      </c>
      <c r="D57" s="95" t="s">
        <v>31</v>
      </c>
      <c r="E57" s="174">
        <f t="shared" ref="E57:K57" si="18">SUM(E58:E59)</f>
        <v>0</v>
      </c>
      <c r="F57" s="174">
        <f t="shared" si="18"/>
        <v>3969.6</v>
      </c>
      <c r="G57" s="174">
        <f t="shared" si="18"/>
        <v>0</v>
      </c>
      <c r="H57" s="114">
        <f t="shared" si="18"/>
        <v>0</v>
      </c>
      <c r="I57" s="114">
        <f t="shared" si="18"/>
        <v>3969.6</v>
      </c>
      <c r="J57" s="114">
        <f t="shared" si="18"/>
        <v>0</v>
      </c>
      <c r="K57" s="174">
        <f t="shared" si="18"/>
        <v>0</v>
      </c>
      <c r="L57" s="348" t="s">
        <v>155</v>
      </c>
      <c r="M57" s="348" t="s">
        <v>371</v>
      </c>
    </row>
    <row r="58" spans="1:13" s="92" customFormat="1" ht="38.25" customHeight="1" x14ac:dyDescent="0.2">
      <c r="A58" s="340"/>
      <c r="B58" s="343"/>
      <c r="C58" s="346"/>
      <c r="D58" s="160" t="s">
        <v>12</v>
      </c>
      <c r="E58" s="173">
        <f>G58</f>
        <v>0</v>
      </c>
      <c r="F58" s="173">
        <f>G58+H58+I58+J58+K58</f>
        <v>0</v>
      </c>
      <c r="G58" s="173">
        <v>0</v>
      </c>
      <c r="H58" s="183">
        <v>0</v>
      </c>
      <c r="I58" s="183">
        <v>0</v>
      </c>
      <c r="J58" s="183">
        <v>0</v>
      </c>
      <c r="K58" s="173">
        <v>0</v>
      </c>
      <c r="L58" s="349"/>
      <c r="M58" s="349"/>
    </row>
    <row r="59" spans="1:13" s="92" customFormat="1" ht="61.5" customHeight="1" x14ac:dyDescent="0.2">
      <c r="A59" s="341"/>
      <c r="B59" s="344"/>
      <c r="C59" s="347"/>
      <c r="D59" s="160" t="s">
        <v>90</v>
      </c>
      <c r="E59" s="173">
        <f>G59</f>
        <v>0</v>
      </c>
      <c r="F59" s="173">
        <f>G59+H59+I59+J59+K59</f>
        <v>3969.6</v>
      </c>
      <c r="G59" s="177">
        <v>0</v>
      </c>
      <c r="H59" s="183">
        <v>0</v>
      </c>
      <c r="I59" s="183">
        <f>3969600/1000</f>
        <v>3969.6</v>
      </c>
      <c r="J59" s="183">
        <v>0</v>
      </c>
      <c r="K59" s="173">
        <v>0</v>
      </c>
      <c r="L59" s="350"/>
      <c r="M59" s="350"/>
    </row>
    <row r="60" spans="1:13" s="92" customFormat="1" ht="15" customHeight="1" x14ac:dyDescent="0.2">
      <c r="A60" s="339" t="s">
        <v>381</v>
      </c>
      <c r="B60" s="342" t="s">
        <v>382</v>
      </c>
      <c r="C60" s="345" t="s">
        <v>104</v>
      </c>
      <c r="D60" s="95" t="s">
        <v>31</v>
      </c>
      <c r="E60" s="174">
        <f t="shared" ref="E60:K60" si="19">SUM(E61:E62)</f>
        <v>0</v>
      </c>
      <c r="F60" s="174">
        <f t="shared" si="19"/>
        <v>3500</v>
      </c>
      <c r="G60" s="174">
        <f t="shared" si="19"/>
        <v>0</v>
      </c>
      <c r="H60" s="114">
        <f t="shared" si="19"/>
        <v>3500</v>
      </c>
      <c r="I60" s="114">
        <f t="shared" si="19"/>
        <v>0</v>
      </c>
      <c r="J60" s="114">
        <f t="shared" si="19"/>
        <v>0</v>
      </c>
      <c r="K60" s="174">
        <f t="shared" si="19"/>
        <v>0</v>
      </c>
      <c r="L60" s="348" t="s">
        <v>155</v>
      </c>
      <c r="M60" s="348" t="s">
        <v>371</v>
      </c>
    </row>
    <row r="61" spans="1:13" s="92" customFormat="1" ht="38.25" customHeight="1" x14ac:dyDescent="0.2">
      <c r="A61" s="340"/>
      <c r="B61" s="343"/>
      <c r="C61" s="346"/>
      <c r="D61" s="93" t="s">
        <v>12</v>
      </c>
      <c r="E61" s="173">
        <f>G61</f>
        <v>0</v>
      </c>
      <c r="F61" s="173">
        <f>G61+H61+I61+J61+K61</f>
        <v>0</v>
      </c>
      <c r="G61" s="173">
        <v>0</v>
      </c>
      <c r="H61" s="183">
        <v>0</v>
      </c>
      <c r="I61" s="183">
        <v>0</v>
      </c>
      <c r="J61" s="183">
        <v>0</v>
      </c>
      <c r="K61" s="173">
        <v>0</v>
      </c>
      <c r="L61" s="349"/>
      <c r="M61" s="349"/>
    </row>
    <row r="62" spans="1:13" s="92" customFormat="1" ht="61.5" customHeight="1" x14ac:dyDescent="0.2">
      <c r="A62" s="341"/>
      <c r="B62" s="344"/>
      <c r="C62" s="347"/>
      <c r="D62" s="93" t="s">
        <v>90</v>
      </c>
      <c r="E62" s="173">
        <f>G62</f>
        <v>0</v>
      </c>
      <c r="F62" s="173">
        <f>G62+H62+I62+J62+K62</f>
        <v>3500</v>
      </c>
      <c r="G62" s="177">
        <v>0</v>
      </c>
      <c r="H62" s="183">
        <v>3500</v>
      </c>
      <c r="I62" s="183">
        <v>0</v>
      </c>
      <c r="J62" s="183">
        <v>0</v>
      </c>
      <c r="K62" s="173">
        <v>0</v>
      </c>
      <c r="L62" s="350"/>
      <c r="M62" s="350"/>
    </row>
    <row r="63" spans="1:13" s="92" customFormat="1" ht="15.75" x14ac:dyDescent="0.2">
      <c r="A63" s="203" t="s">
        <v>35</v>
      </c>
      <c r="B63" s="203"/>
      <c r="C63" s="203"/>
      <c r="D63" s="95" t="s">
        <v>36</v>
      </c>
      <c r="E63" s="174">
        <f>E64+E66</f>
        <v>94786.490819999992</v>
      </c>
      <c r="F63" s="174">
        <f>SUM(G63:K63)</f>
        <v>360774.92853999994</v>
      </c>
      <c r="G63" s="174">
        <f>G64+G66</f>
        <v>94786.490819999992</v>
      </c>
      <c r="H63" s="114">
        <f t="shared" ref="H63:K63" si="20">H64+H66</f>
        <v>66659.73771999999</v>
      </c>
      <c r="I63" s="114">
        <f t="shared" si="20"/>
        <v>71657.5</v>
      </c>
      <c r="J63" s="114">
        <f t="shared" si="20"/>
        <v>63835.6</v>
      </c>
      <c r="K63" s="174">
        <f t="shared" si="20"/>
        <v>63835.6</v>
      </c>
      <c r="L63" s="93"/>
      <c r="M63" s="98"/>
    </row>
    <row r="64" spans="1:13" ht="15" customHeight="1" x14ac:dyDescent="0.2">
      <c r="A64" s="203"/>
      <c r="B64" s="203"/>
      <c r="C64" s="203"/>
      <c r="D64" s="371" t="s">
        <v>91</v>
      </c>
      <c r="E64" s="354">
        <f>G64</f>
        <v>68362.120819999996</v>
      </c>
      <c r="F64" s="354">
        <f>SUM(G64:K65)</f>
        <v>334350.55853999994</v>
      </c>
      <c r="G64" s="354">
        <f>G13+G45</f>
        <v>68362.120819999996</v>
      </c>
      <c r="H64" s="428">
        <f>H13+H45</f>
        <v>66659.73771999999</v>
      </c>
      <c r="I64" s="428">
        <f>I13+I45</f>
        <v>71657.5</v>
      </c>
      <c r="J64" s="428">
        <f>J13+J45</f>
        <v>63835.6</v>
      </c>
      <c r="K64" s="354">
        <f>K13+K45</f>
        <v>63835.6</v>
      </c>
      <c r="L64" s="373"/>
      <c r="M64" s="385"/>
    </row>
    <row r="65" spans="1:17" ht="39.75" customHeight="1" x14ac:dyDescent="0.2">
      <c r="A65" s="203"/>
      <c r="B65" s="203"/>
      <c r="C65" s="203"/>
      <c r="D65" s="372"/>
      <c r="E65" s="354"/>
      <c r="F65" s="354"/>
      <c r="G65" s="354"/>
      <c r="H65" s="428"/>
      <c r="I65" s="428"/>
      <c r="J65" s="428"/>
      <c r="K65" s="354"/>
      <c r="L65" s="373"/>
      <c r="M65" s="385"/>
    </row>
    <row r="66" spans="1:17" ht="57" customHeight="1" x14ac:dyDescent="0.2">
      <c r="A66" s="203"/>
      <c r="B66" s="203"/>
      <c r="C66" s="203"/>
      <c r="D66" s="28" t="s">
        <v>45</v>
      </c>
      <c r="E66" s="178">
        <f>G66</f>
        <v>26424.37</v>
      </c>
      <c r="F66" s="178">
        <f>SUM(G66:K66)</f>
        <v>26424.37</v>
      </c>
      <c r="G66" s="178">
        <f>G46</f>
        <v>26424.37</v>
      </c>
      <c r="H66" s="114">
        <f>H46</f>
        <v>0</v>
      </c>
      <c r="I66" s="114">
        <f>I46</f>
        <v>0</v>
      </c>
      <c r="J66" s="114">
        <f>J46</f>
        <v>0</v>
      </c>
      <c r="K66" s="178">
        <f>K46</f>
        <v>0</v>
      </c>
      <c r="L66" s="29"/>
      <c r="M66" s="99"/>
    </row>
    <row r="67" spans="1:17" ht="27.75" customHeight="1" x14ac:dyDescent="0.2">
      <c r="A67" s="386" t="s">
        <v>79</v>
      </c>
      <c r="B67" s="386"/>
      <c r="C67" s="386"/>
      <c r="D67" s="386"/>
      <c r="E67" s="386"/>
      <c r="F67" s="386"/>
      <c r="G67" s="386"/>
      <c r="H67" s="386"/>
      <c r="I67" s="386"/>
      <c r="J67" s="386"/>
      <c r="K67" s="386"/>
      <c r="L67" s="386"/>
      <c r="M67" s="386"/>
    </row>
    <row r="68" spans="1:17" s="30" customFormat="1" ht="20.25" customHeight="1" x14ac:dyDescent="0.2">
      <c r="A68" s="359" t="s">
        <v>62</v>
      </c>
      <c r="B68" s="398" t="s">
        <v>117</v>
      </c>
      <c r="C68" s="399"/>
      <c r="D68" s="23" t="s">
        <v>31</v>
      </c>
      <c r="E68" s="114">
        <f>G68</f>
        <v>37882.112949999995</v>
      </c>
      <c r="F68" s="114">
        <f>SUM(G68:K68)</f>
        <v>177104.91484000001</v>
      </c>
      <c r="G68" s="114">
        <f>G69</f>
        <v>37882.112949999995</v>
      </c>
      <c r="H68" s="114">
        <f t="shared" ref="H68:K68" si="21">H69</f>
        <v>35924.101889999998</v>
      </c>
      <c r="I68" s="114">
        <f t="shared" si="21"/>
        <v>34401.700000000004</v>
      </c>
      <c r="J68" s="114">
        <f t="shared" si="21"/>
        <v>34448.5</v>
      </c>
      <c r="K68" s="114">
        <f t="shared" si="21"/>
        <v>34448.5</v>
      </c>
      <c r="L68" s="43"/>
      <c r="M68" s="43"/>
    </row>
    <row r="69" spans="1:17" s="30" customFormat="1" ht="15" customHeight="1" x14ac:dyDescent="0.2">
      <c r="A69" s="359"/>
      <c r="B69" s="400"/>
      <c r="C69" s="401"/>
      <c r="D69" s="360" t="s">
        <v>92</v>
      </c>
      <c r="E69" s="369">
        <f>G69</f>
        <v>37882.112949999995</v>
      </c>
      <c r="F69" s="355">
        <f>SUM(G69:K70)</f>
        <v>177104.91484000001</v>
      </c>
      <c r="G69" s="355">
        <f>G71+G73+G75+G77+G79+G81+G83+G85+G87+G89+G91+G93+G95+G97+G105+G99+G101</f>
        <v>37882.112949999995</v>
      </c>
      <c r="H69" s="355">
        <f>H71+H73+H75+H77+H79+H81+H83+H85+H87+H89+H91+H93+H95+H97+H105</f>
        <v>35924.101889999998</v>
      </c>
      <c r="I69" s="355">
        <f>I71+I73+I75+I77+I79+I81+I83+I85+I87+I89+I91+I93+I95+I97+I105</f>
        <v>34401.700000000004</v>
      </c>
      <c r="J69" s="355">
        <f>J71+J73+J75+J77+J79+J81+J83+J85+J87+J89+J91+J93+J95+J97+J105</f>
        <v>34448.5</v>
      </c>
      <c r="K69" s="355">
        <f>K71+K73+K75+K77+K79+K81+K83+K85+K87+K89+K91+K93+K95+K97+K105</f>
        <v>34448.5</v>
      </c>
      <c r="L69" s="356" t="s">
        <v>69</v>
      </c>
      <c r="M69" s="384"/>
    </row>
    <row r="70" spans="1:17" s="92" customFormat="1" ht="55.5" customHeight="1" x14ac:dyDescent="0.2">
      <c r="A70" s="359"/>
      <c r="B70" s="400"/>
      <c r="C70" s="401"/>
      <c r="D70" s="361"/>
      <c r="E70" s="370"/>
      <c r="F70" s="355"/>
      <c r="G70" s="355"/>
      <c r="H70" s="355"/>
      <c r="I70" s="355"/>
      <c r="J70" s="355"/>
      <c r="K70" s="355"/>
      <c r="L70" s="357"/>
      <c r="M70" s="384"/>
    </row>
    <row r="71" spans="1:17" s="92" customFormat="1" ht="15" customHeight="1" x14ac:dyDescent="0.2">
      <c r="A71" s="352" t="s">
        <v>32</v>
      </c>
      <c r="B71" s="353" t="s">
        <v>222</v>
      </c>
      <c r="C71" s="261" t="s">
        <v>104</v>
      </c>
      <c r="D71" s="95" t="s">
        <v>31</v>
      </c>
      <c r="E71" s="180">
        <f>SUM(E72:E72)</f>
        <v>25761.599999999999</v>
      </c>
      <c r="F71" s="180">
        <f>F72</f>
        <v>133369.20189</v>
      </c>
      <c r="G71" s="180">
        <f>G72</f>
        <v>25761.599999999999</v>
      </c>
      <c r="H71" s="429">
        <f>SUM(H72:H72)</f>
        <v>24271.20189</v>
      </c>
      <c r="I71" s="429">
        <f>I72</f>
        <v>27778.799999999999</v>
      </c>
      <c r="J71" s="429">
        <f>J72</f>
        <v>27778.799999999999</v>
      </c>
      <c r="K71" s="180">
        <f>K72</f>
        <v>27778.799999999999</v>
      </c>
      <c r="L71" s="348" t="s">
        <v>69</v>
      </c>
      <c r="M71" s="348" t="s">
        <v>188</v>
      </c>
      <c r="Q71" s="97">
        <f>G68-38634.4</f>
        <v>-752.28705000000627</v>
      </c>
    </row>
    <row r="72" spans="1:17" s="92" customFormat="1" ht="102" customHeight="1" x14ac:dyDescent="0.2">
      <c r="A72" s="352"/>
      <c r="B72" s="353"/>
      <c r="C72" s="265"/>
      <c r="D72" s="93" t="s">
        <v>70</v>
      </c>
      <c r="E72" s="181">
        <f>G72</f>
        <v>25761.599999999999</v>
      </c>
      <c r="F72" s="181">
        <f t="shared" ref="F72:F85" si="22">SUM(G72:K72)</f>
        <v>133369.20189</v>
      </c>
      <c r="G72" s="181">
        <v>25761.599999999999</v>
      </c>
      <c r="H72" s="430">
        <f>24271201.89/1000</f>
        <v>24271.20189</v>
      </c>
      <c r="I72" s="430">
        <v>27778.799999999999</v>
      </c>
      <c r="J72" s="430">
        <v>27778.799999999999</v>
      </c>
      <c r="K72" s="181">
        <v>27778.799999999999</v>
      </c>
      <c r="L72" s="349"/>
      <c r="M72" s="350"/>
    </row>
    <row r="73" spans="1:17" s="92" customFormat="1" x14ac:dyDescent="0.2">
      <c r="A73" s="358" t="s">
        <v>33</v>
      </c>
      <c r="B73" s="353" t="s">
        <v>224</v>
      </c>
      <c r="C73" s="261" t="s">
        <v>104</v>
      </c>
      <c r="D73" s="95" t="s">
        <v>31</v>
      </c>
      <c r="E73" s="180">
        <v>0</v>
      </c>
      <c r="F73" s="180">
        <f t="shared" si="22"/>
        <v>6221.1</v>
      </c>
      <c r="G73" s="180">
        <f>G74</f>
        <v>1323.5</v>
      </c>
      <c r="H73" s="429">
        <f>H74</f>
        <v>1200.4000000000001</v>
      </c>
      <c r="I73" s="429">
        <f>I74</f>
        <v>1200.4000000000001</v>
      </c>
      <c r="J73" s="429">
        <f>J74</f>
        <v>1248.4000000000001</v>
      </c>
      <c r="K73" s="180">
        <f>K74</f>
        <v>1248.4000000000001</v>
      </c>
      <c r="L73" s="348" t="s">
        <v>69</v>
      </c>
      <c r="M73" s="348" t="s">
        <v>188</v>
      </c>
    </row>
    <row r="74" spans="1:17" s="92" customFormat="1" ht="99.75" customHeight="1" x14ac:dyDescent="0.2">
      <c r="A74" s="358"/>
      <c r="B74" s="353"/>
      <c r="C74" s="265"/>
      <c r="D74" s="93" t="s">
        <v>70</v>
      </c>
      <c r="E74" s="173">
        <f>G74</f>
        <v>1323.5</v>
      </c>
      <c r="F74" s="173">
        <f t="shared" si="22"/>
        <v>6221.1</v>
      </c>
      <c r="G74" s="173">
        <v>1323.5</v>
      </c>
      <c r="H74" s="183">
        <v>1200.4000000000001</v>
      </c>
      <c r="I74" s="183">
        <v>1200.4000000000001</v>
      </c>
      <c r="J74" s="183">
        <v>1248.4000000000001</v>
      </c>
      <c r="K74" s="173">
        <v>1248.4000000000001</v>
      </c>
      <c r="L74" s="349"/>
      <c r="M74" s="350"/>
    </row>
    <row r="75" spans="1:17" s="92" customFormat="1" x14ac:dyDescent="0.2">
      <c r="A75" s="358" t="s">
        <v>34</v>
      </c>
      <c r="B75" s="353" t="s">
        <v>225</v>
      </c>
      <c r="C75" s="261" t="s">
        <v>104</v>
      </c>
      <c r="D75" s="95" t="s">
        <v>31</v>
      </c>
      <c r="E75" s="180">
        <v>0</v>
      </c>
      <c r="F75" s="180">
        <f t="shared" si="22"/>
        <v>662.2</v>
      </c>
      <c r="G75" s="180">
        <f>G76</f>
        <v>304.10000000000002</v>
      </c>
      <c r="H75" s="429">
        <f>H76</f>
        <v>304.10000000000002</v>
      </c>
      <c r="I75" s="429">
        <f>I76</f>
        <v>18</v>
      </c>
      <c r="J75" s="429">
        <f>J76</f>
        <v>18</v>
      </c>
      <c r="K75" s="180">
        <f>K76</f>
        <v>18</v>
      </c>
      <c r="L75" s="348" t="s">
        <v>69</v>
      </c>
      <c r="M75" s="348" t="s">
        <v>188</v>
      </c>
    </row>
    <row r="76" spans="1:17" s="92" customFormat="1" ht="78" customHeight="1" x14ac:dyDescent="0.2">
      <c r="A76" s="358"/>
      <c r="B76" s="353"/>
      <c r="C76" s="265"/>
      <c r="D76" s="93" t="s">
        <v>70</v>
      </c>
      <c r="E76" s="173">
        <f>G76</f>
        <v>304.10000000000002</v>
      </c>
      <c r="F76" s="173">
        <f t="shared" si="22"/>
        <v>662.2</v>
      </c>
      <c r="G76" s="173">
        <v>304.10000000000002</v>
      </c>
      <c r="H76" s="183">
        <v>304.10000000000002</v>
      </c>
      <c r="I76" s="183">
        <v>18</v>
      </c>
      <c r="J76" s="183">
        <v>18</v>
      </c>
      <c r="K76" s="173">
        <v>18</v>
      </c>
      <c r="L76" s="349"/>
      <c r="M76" s="350"/>
    </row>
    <row r="77" spans="1:17" s="92" customFormat="1" x14ac:dyDescent="0.2">
      <c r="A77" s="358" t="s">
        <v>72</v>
      </c>
      <c r="B77" s="353" t="s">
        <v>226</v>
      </c>
      <c r="C77" s="261" t="s">
        <v>104</v>
      </c>
      <c r="D77" s="95" t="s">
        <v>31</v>
      </c>
      <c r="E77" s="180">
        <v>0</v>
      </c>
      <c r="F77" s="180">
        <f t="shared" si="22"/>
        <v>23523.96</v>
      </c>
      <c r="G77" s="180">
        <f>G78</f>
        <v>4820.3599999999997</v>
      </c>
      <c r="H77" s="429">
        <f>H78</f>
        <v>5444.2</v>
      </c>
      <c r="I77" s="429">
        <f>I78</f>
        <v>4420.6000000000004</v>
      </c>
      <c r="J77" s="429">
        <f>J78</f>
        <v>4419.3999999999996</v>
      </c>
      <c r="K77" s="180">
        <f>K78</f>
        <v>4419.3999999999996</v>
      </c>
      <c r="L77" s="348" t="s">
        <v>69</v>
      </c>
      <c r="M77" s="348" t="s">
        <v>168</v>
      </c>
    </row>
    <row r="78" spans="1:17" s="92" customFormat="1" ht="107.25" customHeight="1" x14ac:dyDescent="0.2">
      <c r="A78" s="358"/>
      <c r="B78" s="353"/>
      <c r="C78" s="265"/>
      <c r="D78" s="93" t="s">
        <v>70</v>
      </c>
      <c r="E78" s="173">
        <f>G78</f>
        <v>4820.3599999999997</v>
      </c>
      <c r="F78" s="173">
        <f t="shared" si="22"/>
        <v>23523.96</v>
      </c>
      <c r="G78" s="173">
        <f>4820360/1000</f>
        <v>4820.3599999999997</v>
      </c>
      <c r="H78" s="183">
        <v>5444.2</v>
      </c>
      <c r="I78" s="183">
        <v>4420.6000000000004</v>
      </c>
      <c r="J78" s="183">
        <v>4419.3999999999996</v>
      </c>
      <c r="K78" s="173">
        <v>4419.3999999999996</v>
      </c>
      <c r="L78" s="349"/>
      <c r="M78" s="350"/>
    </row>
    <row r="79" spans="1:17" s="92" customFormat="1" x14ac:dyDescent="0.2">
      <c r="A79" s="358" t="s">
        <v>73</v>
      </c>
      <c r="B79" s="353" t="s">
        <v>227</v>
      </c>
      <c r="C79" s="261" t="s">
        <v>104</v>
      </c>
      <c r="D79" s="95" t="s">
        <v>31</v>
      </c>
      <c r="E79" s="180">
        <v>0</v>
      </c>
      <c r="F79" s="180">
        <f t="shared" si="22"/>
        <v>1399.1</v>
      </c>
      <c r="G79" s="180">
        <f>G80</f>
        <v>924.5</v>
      </c>
      <c r="H79" s="429">
        <f>H80</f>
        <v>429.6</v>
      </c>
      <c r="I79" s="429">
        <f>I80</f>
        <v>15</v>
      </c>
      <c r="J79" s="429">
        <f>J80</f>
        <v>15</v>
      </c>
      <c r="K79" s="180">
        <f>K80</f>
        <v>15</v>
      </c>
      <c r="L79" s="348" t="s">
        <v>69</v>
      </c>
      <c r="M79" s="348" t="s">
        <v>168</v>
      </c>
    </row>
    <row r="80" spans="1:17" s="92" customFormat="1" ht="93" customHeight="1" x14ac:dyDescent="0.2">
      <c r="A80" s="358"/>
      <c r="B80" s="353"/>
      <c r="C80" s="265"/>
      <c r="D80" s="93" t="s">
        <v>70</v>
      </c>
      <c r="E80" s="173">
        <f>G80</f>
        <v>924.5</v>
      </c>
      <c r="F80" s="173">
        <f t="shared" si="22"/>
        <v>1399.1</v>
      </c>
      <c r="G80" s="173">
        <f>924500/1000</f>
        <v>924.5</v>
      </c>
      <c r="H80" s="183">
        <v>429.6</v>
      </c>
      <c r="I80" s="183">
        <v>15</v>
      </c>
      <c r="J80" s="183">
        <v>15</v>
      </c>
      <c r="K80" s="173">
        <v>15</v>
      </c>
      <c r="L80" s="349"/>
      <c r="M80" s="350"/>
    </row>
    <row r="81" spans="1:13" s="92" customFormat="1" ht="15.75" customHeight="1" x14ac:dyDescent="0.2">
      <c r="A81" s="358" t="s">
        <v>74</v>
      </c>
      <c r="B81" s="353" t="s">
        <v>228</v>
      </c>
      <c r="C81" s="261" t="s">
        <v>104</v>
      </c>
      <c r="D81" s="95" t="s">
        <v>31</v>
      </c>
      <c r="E81" s="174">
        <v>0</v>
      </c>
      <c r="F81" s="174">
        <f t="shared" si="22"/>
        <v>35</v>
      </c>
      <c r="G81" s="174">
        <f>G82</f>
        <v>25</v>
      </c>
      <c r="H81" s="114">
        <f>H82</f>
        <v>10</v>
      </c>
      <c r="I81" s="114">
        <f>I82</f>
        <v>0</v>
      </c>
      <c r="J81" s="114">
        <f>J82</f>
        <v>0</v>
      </c>
      <c r="K81" s="174">
        <f>K82</f>
        <v>0</v>
      </c>
      <c r="L81" s="348" t="s">
        <v>69</v>
      </c>
      <c r="M81" s="348" t="s">
        <v>171</v>
      </c>
    </row>
    <row r="82" spans="1:13" s="92" customFormat="1" ht="62.25" customHeight="1" x14ac:dyDescent="0.2">
      <c r="A82" s="358"/>
      <c r="B82" s="353"/>
      <c r="C82" s="265"/>
      <c r="D82" s="93" t="s">
        <v>70</v>
      </c>
      <c r="E82" s="173">
        <v>0</v>
      </c>
      <c r="F82" s="173">
        <f t="shared" si="22"/>
        <v>35</v>
      </c>
      <c r="G82" s="173">
        <v>25</v>
      </c>
      <c r="H82" s="183">
        <v>10</v>
      </c>
      <c r="I82" s="183">
        <v>0</v>
      </c>
      <c r="J82" s="183">
        <v>0</v>
      </c>
      <c r="K82" s="173">
        <v>0</v>
      </c>
      <c r="L82" s="349"/>
      <c r="M82" s="350"/>
    </row>
    <row r="83" spans="1:13" s="92" customFormat="1" ht="15.75" customHeight="1" x14ac:dyDescent="0.2">
      <c r="A83" s="358" t="s">
        <v>75</v>
      </c>
      <c r="B83" s="353" t="s">
        <v>229</v>
      </c>
      <c r="C83" s="345" t="s">
        <v>104</v>
      </c>
      <c r="D83" s="95" t="s">
        <v>31</v>
      </c>
      <c r="E83" s="174">
        <v>0</v>
      </c>
      <c r="F83" s="174">
        <f t="shared" si="22"/>
        <v>220.5</v>
      </c>
      <c r="G83" s="174">
        <f>G84</f>
        <v>29.5</v>
      </c>
      <c r="H83" s="114">
        <f>H84</f>
        <v>35</v>
      </c>
      <c r="I83" s="114">
        <f>I84</f>
        <v>52</v>
      </c>
      <c r="J83" s="114">
        <f>J84</f>
        <v>52</v>
      </c>
      <c r="K83" s="174">
        <f>K84</f>
        <v>52</v>
      </c>
      <c r="L83" s="348" t="s">
        <v>69</v>
      </c>
      <c r="M83" s="348" t="s">
        <v>189</v>
      </c>
    </row>
    <row r="84" spans="1:13" s="92" customFormat="1" ht="48" customHeight="1" x14ac:dyDescent="0.2">
      <c r="A84" s="358"/>
      <c r="B84" s="353"/>
      <c r="C84" s="347"/>
      <c r="D84" s="93" t="s">
        <v>70</v>
      </c>
      <c r="E84" s="173">
        <f>G84</f>
        <v>29.5</v>
      </c>
      <c r="F84" s="173">
        <f>SUM(G84:K84)</f>
        <v>220.5</v>
      </c>
      <c r="G84" s="173">
        <f>29500/1000</f>
        <v>29.5</v>
      </c>
      <c r="H84" s="183">
        <v>35</v>
      </c>
      <c r="I84" s="183">
        <v>52</v>
      </c>
      <c r="J84" s="183">
        <v>52</v>
      </c>
      <c r="K84" s="173">
        <v>52</v>
      </c>
      <c r="L84" s="349"/>
      <c r="M84" s="350"/>
    </row>
    <row r="85" spans="1:13" s="92" customFormat="1" ht="15.75" customHeight="1" x14ac:dyDescent="0.2">
      <c r="A85" s="358" t="s">
        <v>108</v>
      </c>
      <c r="B85" s="353" t="s">
        <v>230</v>
      </c>
      <c r="C85" s="261" t="s">
        <v>104</v>
      </c>
      <c r="D85" s="95" t="s">
        <v>31</v>
      </c>
      <c r="E85" s="174">
        <v>0</v>
      </c>
      <c r="F85" s="174">
        <f t="shared" si="22"/>
        <v>236</v>
      </c>
      <c r="G85" s="174">
        <f>G86</f>
        <v>80</v>
      </c>
      <c r="H85" s="114">
        <f>H86</f>
        <v>66</v>
      </c>
      <c r="I85" s="114">
        <f>I86</f>
        <v>30</v>
      </c>
      <c r="J85" s="114">
        <f>J86</f>
        <v>30</v>
      </c>
      <c r="K85" s="174">
        <f>K86</f>
        <v>30</v>
      </c>
      <c r="L85" s="348" t="s">
        <v>69</v>
      </c>
      <c r="M85" s="348" t="s">
        <v>172</v>
      </c>
    </row>
    <row r="86" spans="1:13" s="92" customFormat="1" ht="87.75" customHeight="1" x14ac:dyDescent="0.2">
      <c r="A86" s="358"/>
      <c r="B86" s="353"/>
      <c r="C86" s="265"/>
      <c r="D86" s="93" t="s">
        <v>70</v>
      </c>
      <c r="E86" s="173">
        <f>G86</f>
        <v>80</v>
      </c>
      <c r="F86" s="173">
        <f t="shared" ref="F86:F107" si="23">SUM(G86:K86)</f>
        <v>236</v>
      </c>
      <c r="G86" s="173">
        <v>80</v>
      </c>
      <c r="H86" s="183">
        <v>66</v>
      </c>
      <c r="I86" s="183">
        <v>30</v>
      </c>
      <c r="J86" s="183">
        <v>30</v>
      </c>
      <c r="K86" s="173">
        <v>30</v>
      </c>
      <c r="L86" s="349"/>
      <c r="M86" s="350"/>
    </row>
    <row r="87" spans="1:13" s="92" customFormat="1" ht="15.75" customHeight="1" x14ac:dyDescent="0.2">
      <c r="A87" s="358" t="s">
        <v>109</v>
      </c>
      <c r="B87" s="353" t="s">
        <v>231</v>
      </c>
      <c r="C87" s="261" t="s">
        <v>104</v>
      </c>
      <c r="D87" s="95" t="s">
        <v>31</v>
      </c>
      <c r="E87" s="174">
        <v>0</v>
      </c>
      <c r="F87" s="174">
        <f t="shared" si="23"/>
        <v>1689.2350000000001</v>
      </c>
      <c r="G87" s="174">
        <f>G88</f>
        <v>1077.8679999999999</v>
      </c>
      <c r="H87" s="114">
        <f>H88</f>
        <v>350.66699999999997</v>
      </c>
      <c r="I87" s="114">
        <f>I88</f>
        <v>86.9</v>
      </c>
      <c r="J87" s="114">
        <f>J88</f>
        <v>86.9</v>
      </c>
      <c r="K87" s="174">
        <f>K88</f>
        <v>86.9</v>
      </c>
      <c r="L87" s="348" t="s">
        <v>69</v>
      </c>
      <c r="M87" s="348" t="s">
        <v>177</v>
      </c>
    </row>
    <row r="88" spans="1:13" s="92" customFormat="1" ht="61.5" customHeight="1" x14ac:dyDescent="0.2">
      <c r="A88" s="358"/>
      <c r="B88" s="353"/>
      <c r="C88" s="265"/>
      <c r="D88" s="93" t="s">
        <v>70</v>
      </c>
      <c r="E88" s="173">
        <f>G88</f>
        <v>1077.8679999999999</v>
      </c>
      <c r="F88" s="173">
        <f t="shared" si="23"/>
        <v>1689.2350000000001</v>
      </c>
      <c r="G88" s="173">
        <f>(787500+221368+69000)/1000</f>
        <v>1077.8679999999999</v>
      </c>
      <c r="H88" s="183">
        <f>350667/1000</f>
        <v>350.66699999999997</v>
      </c>
      <c r="I88" s="183">
        <v>86.9</v>
      </c>
      <c r="J88" s="183">
        <v>86.9</v>
      </c>
      <c r="K88" s="173">
        <v>86.9</v>
      </c>
      <c r="L88" s="350"/>
      <c r="M88" s="350"/>
    </row>
    <row r="89" spans="1:13" s="92" customFormat="1" ht="15.75" x14ac:dyDescent="0.2">
      <c r="A89" s="358" t="s">
        <v>142</v>
      </c>
      <c r="B89" s="353" t="s">
        <v>233</v>
      </c>
      <c r="C89" s="261" t="s">
        <v>104</v>
      </c>
      <c r="D89" s="95" t="s">
        <v>31</v>
      </c>
      <c r="E89" s="174">
        <f>E90</f>
        <v>284.01367999999997</v>
      </c>
      <c r="F89" s="174">
        <f t="shared" si="23"/>
        <v>1684.01368</v>
      </c>
      <c r="G89" s="174">
        <f>G90</f>
        <v>284.01367999999997</v>
      </c>
      <c r="H89" s="114">
        <f>H90</f>
        <v>500</v>
      </c>
      <c r="I89" s="114">
        <f>I90</f>
        <v>300</v>
      </c>
      <c r="J89" s="114">
        <f>J90</f>
        <v>300</v>
      </c>
      <c r="K89" s="174">
        <f t="shared" ref="K89:K105" si="24">K90</f>
        <v>300</v>
      </c>
      <c r="L89" s="362" t="s">
        <v>69</v>
      </c>
      <c r="M89" s="348" t="s">
        <v>173</v>
      </c>
    </row>
    <row r="90" spans="1:13" s="92" customFormat="1" ht="105.75" customHeight="1" x14ac:dyDescent="0.2">
      <c r="A90" s="358"/>
      <c r="B90" s="353"/>
      <c r="C90" s="265"/>
      <c r="D90" s="93" t="s">
        <v>70</v>
      </c>
      <c r="E90" s="173">
        <f>G90</f>
        <v>284.01367999999997</v>
      </c>
      <c r="F90" s="173">
        <f t="shared" si="23"/>
        <v>1684.01368</v>
      </c>
      <c r="G90" s="173">
        <f>284013.68/1000</f>
        <v>284.01367999999997</v>
      </c>
      <c r="H90" s="183">
        <v>500</v>
      </c>
      <c r="I90" s="183">
        <v>300</v>
      </c>
      <c r="J90" s="183">
        <v>300</v>
      </c>
      <c r="K90" s="173">
        <v>300</v>
      </c>
      <c r="L90" s="363"/>
      <c r="M90" s="349"/>
    </row>
    <row r="91" spans="1:13" s="92" customFormat="1" ht="18.75" customHeight="1" x14ac:dyDescent="0.2">
      <c r="A91" s="358" t="s">
        <v>143</v>
      </c>
      <c r="B91" s="353" t="s">
        <v>234</v>
      </c>
      <c r="C91" s="261" t="s">
        <v>104</v>
      </c>
      <c r="D91" s="95" t="s">
        <v>31</v>
      </c>
      <c r="E91" s="174">
        <f>E92</f>
        <v>180.6</v>
      </c>
      <c r="F91" s="174">
        <f t="shared" si="23"/>
        <v>4049.5329999999999</v>
      </c>
      <c r="G91" s="174">
        <f>G92</f>
        <v>180.6</v>
      </c>
      <c r="H91" s="114">
        <f>H92</f>
        <v>2968.933</v>
      </c>
      <c r="I91" s="114">
        <f>I92</f>
        <v>300</v>
      </c>
      <c r="J91" s="114">
        <f>J92</f>
        <v>300</v>
      </c>
      <c r="K91" s="174">
        <f t="shared" si="24"/>
        <v>300</v>
      </c>
      <c r="L91" s="362" t="s">
        <v>69</v>
      </c>
      <c r="M91" s="348" t="s">
        <v>174</v>
      </c>
    </row>
    <row r="92" spans="1:13" s="92" customFormat="1" ht="56.25" customHeight="1" x14ac:dyDescent="0.2">
      <c r="A92" s="358"/>
      <c r="B92" s="353"/>
      <c r="C92" s="265"/>
      <c r="D92" s="93" t="s">
        <v>70</v>
      </c>
      <c r="E92" s="173">
        <f>G92</f>
        <v>180.6</v>
      </c>
      <c r="F92" s="173">
        <f t="shared" si="23"/>
        <v>4049.5329999999999</v>
      </c>
      <c r="G92" s="173">
        <f>180600/1000</f>
        <v>180.6</v>
      </c>
      <c r="H92" s="183">
        <f>2968933/1000</f>
        <v>2968.933</v>
      </c>
      <c r="I92" s="183">
        <v>300</v>
      </c>
      <c r="J92" s="183">
        <v>300</v>
      </c>
      <c r="K92" s="173">
        <v>300</v>
      </c>
      <c r="L92" s="363"/>
      <c r="M92" s="349"/>
    </row>
    <row r="93" spans="1:13" s="92" customFormat="1" ht="18.75" customHeight="1" x14ac:dyDescent="0.2">
      <c r="A93" s="358" t="s">
        <v>144</v>
      </c>
      <c r="B93" s="403" t="s">
        <v>235</v>
      </c>
      <c r="C93" s="261" t="s">
        <v>104</v>
      </c>
      <c r="D93" s="95" t="s">
        <v>31</v>
      </c>
      <c r="E93" s="174">
        <f>E94</f>
        <v>180</v>
      </c>
      <c r="F93" s="174">
        <f t="shared" si="23"/>
        <v>984</v>
      </c>
      <c r="G93" s="174">
        <f>G94</f>
        <v>180</v>
      </c>
      <c r="H93" s="114">
        <f>H94</f>
        <v>204</v>
      </c>
      <c r="I93" s="114">
        <f>I94</f>
        <v>200</v>
      </c>
      <c r="J93" s="114">
        <f>J94</f>
        <v>200</v>
      </c>
      <c r="K93" s="174">
        <f t="shared" si="24"/>
        <v>200</v>
      </c>
      <c r="L93" s="365" t="s">
        <v>69</v>
      </c>
      <c r="M93" s="348" t="s">
        <v>184</v>
      </c>
    </row>
    <row r="94" spans="1:13" s="92" customFormat="1" ht="75.75" customHeight="1" x14ac:dyDescent="0.2">
      <c r="A94" s="358"/>
      <c r="B94" s="383"/>
      <c r="C94" s="265"/>
      <c r="D94" s="93" t="s">
        <v>70</v>
      </c>
      <c r="E94" s="173">
        <f>G94</f>
        <v>180</v>
      </c>
      <c r="F94" s="173">
        <f t="shared" si="23"/>
        <v>984</v>
      </c>
      <c r="G94" s="173">
        <f>180000/1000</f>
        <v>180</v>
      </c>
      <c r="H94" s="183">
        <v>204</v>
      </c>
      <c r="I94" s="183">
        <v>200</v>
      </c>
      <c r="J94" s="183">
        <v>200</v>
      </c>
      <c r="K94" s="173">
        <v>200</v>
      </c>
      <c r="L94" s="365"/>
      <c r="M94" s="350"/>
    </row>
    <row r="95" spans="1:13" s="92" customFormat="1" ht="18.75" customHeight="1" x14ac:dyDescent="0.2">
      <c r="A95" s="339" t="s">
        <v>145</v>
      </c>
      <c r="B95" s="403" t="s">
        <v>199</v>
      </c>
      <c r="C95" s="261" t="s">
        <v>104</v>
      </c>
      <c r="D95" s="95" t="s">
        <v>31</v>
      </c>
      <c r="E95" s="174">
        <f>E96</f>
        <v>291.44900000000001</v>
      </c>
      <c r="F95" s="174">
        <f t="shared" si="23"/>
        <v>291.44900000000001</v>
      </c>
      <c r="G95" s="174">
        <f>G96</f>
        <v>291.44900000000001</v>
      </c>
      <c r="H95" s="114">
        <f>H96</f>
        <v>0</v>
      </c>
      <c r="I95" s="114">
        <f>I96</f>
        <v>0</v>
      </c>
      <c r="J95" s="114">
        <f>J96</f>
        <v>0</v>
      </c>
      <c r="K95" s="174">
        <f t="shared" si="24"/>
        <v>0</v>
      </c>
      <c r="L95" s="365" t="s">
        <v>69</v>
      </c>
      <c r="M95" s="348" t="s">
        <v>208</v>
      </c>
    </row>
    <row r="96" spans="1:13" s="92" customFormat="1" ht="49.5" customHeight="1" x14ac:dyDescent="0.2">
      <c r="A96" s="341"/>
      <c r="B96" s="383"/>
      <c r="C96" s="265"/>
      <c r="D96" s="93" t="s">
        <v>70</v>
      </c>
      <c r="E96" s="173">
        <f>G96</f>
        <v>291.44900000000001</v>
      </c>
      <c r="F96" s="173">
        <f t="shared" si="23"/>
        <v>291.44900000000001</v>
      </c>
      <c r="G96" s="173">
        <f>291449/1000</f>
        <v>291.44900000000001</v>
      </c>
      <c r="H96" s="183">
        <v>0</v>
      </c>
      <c r="I96" s="183">
        <v>0</v>
      </c>
      <c r="J96" s="183">
        <v>0</v>
      </c>
      <c r="K96" s="173">
        <v>0</v>
      </c>
      <c r="L96" s="365"/>
      <c r="M96" s="350"/>
    </row>
    <row r="97" spans="1:13" s="92" customFormat="1" ht="18.75" customHeight="1" x14ac:dyDescent="0.2">
      <c r="A97" s="339" t="s">
        <v>146</v>
      </c>
      <c r="B97" s="403" t="s">
        <v>201</v>
      </c>
      <c r="C97" s="261" t="s">
        <v>104</v>
      </c>
      <c r="D97" s="95" t="s">
        <v>31</v>
      </c>
      <c r="E97" s="174">
        <f>E98</f>
        <v>10.032</v>
      </c>
      <c r="F97" s="174">
        <f t="shared" si="23"/>
        <v>150.03200000000001</v>
      </c>
      <c r="G97" s="174">
        <f>G98</f>
        <v>10.032</v>
      </c>
      <c r="H97" s="114">
        <f>H98</f>
        <v>140</v>
      </c>
      <c r="I97" s="114">
        <f>I98</f>
        <v>0</v>
      </c>
      <c r="J97" s="114">
        <f>J98</f>
        <v>0</v>
      </c>
      <c r="K97" s="174">
        <f t="shared" si="24"/>
        <v>0</v>
      </c>
      <c r="L97" s="365" t="s">
        <v>69</v>
      </c>
      <c r="M97" s="348" t="s">
        <v>209</v>
      </c>
    </row>
    <row r="98" spans="1:13" s="92" customFormat="1" ht="70.5" customHeight="1" x14ac:dyDescent="0.2">
      <c r="A98" s="341"/>
      <c r="B98" s="383"/>
      <c r="C98" s="265"/>
      <c r="D98" s="93" t="s">
        <v>70</v>
      </c>
      <c r="E98" s="173">
        <f>G98</f>
        <v>10.032</v>
      </c>
      <c r="F98" s="173">
        <f t="shared" si="23"/>
        <v>150.03200000000001</v>
      </c>
      <c r="G98" s="173">
        <f>10032/1000</f>
        <v>10.032</v>
      </c>
      <c r="H98" s="183">
        <f>140000/1000</f>
        <v>140</v>
      </c>
      <c r="I98" s="183">
        <v>0</v>
      </c>
      <c r="J98" s="183">
        <v>0</v>
      </c>
      <c r="K98" s="173">
        <v>0</v>
      </c>
      <c r="L98" s="365"/>
      <c r="M98" s="350"/>
    </row>
    <row r="99" spans="1:13" s="92" customFormat="1" ht="18.75" customHeight="1" x14ac:dyDescent="0.2">
      <c r="A99" s="339" t="s">
        <v>147</v>
      </c>
      <c r="B99" s="403" t="s">
        <v>202</v>
      </c>
      <c r="C99" s="261" t="s">
        <v>104</v>
      </c>
      <c r="D99" s="95" t="s">
        <v>31</v>
      </c>
      <c r="E99" s="174">
        <f>E100</f>
        <v>90</v>
      </c>
      <c r="F99" s="174">
        <f t="shared" ref="F99:F100" si="25">SUM(G99:K99)</f>
        <v>90</v>
      </c>
      <c r="G99" s="174">
        <f>G100</f>
        <v>90</v>
      </c>
      <c r="H99" s="114">
        <f>H100</f>
        <v>0</v>
      </c>
      <c r="I99" s="114">
        <f>I100</f>
        <v>0</v>
      </c>
      <c r="J99" s="114">
        <f>J100</f>
        <v>0</v>
      </c>
      <c r="K99" s="174">
        <f t="shared" si="24"/>
        <v>0</v>
      </c>
      <c r="L99" s="365" t="s">
        <v>69</v>
      </c>
      <c r="M99" s="348" t="s">
        <v>210</v>
      </c>
    </row>
    <row r="100" spans="1:13" s="92" customFormat="1" ht="75" customHeight="1" x14ac:dyDescent="0.2">
      <c r="A100" s="341"/>
      <c r="B100" s="383"/>
      <c r="C100" s="265"/>
      <c r="D100" s="104" t="s">
        <v>70</v>
      </c>
      <c r="E100" s="173">
        <f>G100</f>
        <v>90</v>
      </c>
      <c r="F100" s="173">
        <f t="shared" si="25"/>
        <v>90</v>
      </c>
      <c r="G100" s="173">
        <v>90</v>
      </c>
      <c r="H100" s="183">
        <v>0</v>
      </c>
      <c r="I100" s="183">
        <v>0</v>
      </c>
      <c r="J100" s="183">
        <v>0</v>
      </c>
      <c r="K100" s="173">
        <v>0</v>
      </c>
      <c r="L100" s="365"/>
      <c r="M100" s="350"/>
    </row>
    <row r="101" spans="1:13" s="92" customFormat="1" ht="18.75" customHeight="1" x14ac:dyDescent="0.2">
      <c r="A101" s="409" t="s">
        <v>213</v>
      </c>
      <c r="B101" s="342" t="s">
        <v>287</v>
      </c>
      <c r="C101" s="277" t="s">
        <v>104</v>
      </c>
      <c r="D101" s="95" t="s">
        <v>31</v>
      </c>
      <c r="E101" s="174">
        <f>E102</f>
        <v>2499.5902700000001</v>
      </c>
      <c r="F101" s="174">
        <f t="shared" ref="F101:F102" si="26">SUM(G101:K101)</f>
        <v>2499.5902700000001</v>
      </c>
      <c r="G101" s="174">
        <f>G102</f>
        <v>2499.5902700000001</v>
      </c>
      <c r="H101" s="114">
        <f>H102</f>
        <v>0</v>
      </c>
      <c r="I101" s="114">
        <f>I102</f>
        <v>0</v>
      </c>
      <c r="J101" s="114">
        <f>J102</f>
        <v>0</v>
      </c>
      <c r="K101" s="174">
        <f t="shared" si="24"/>
        <v>0</v>
      </c>
      <c r="L101" s="365" t="s">
        <v>69</v>
      </c>
      <c r="M101" s="348" t="s">
        <v>295</v>
      </c>
    </row>
    <row r="102" spans="1:13" s="92" customFormat="1" ht="75" customHeight="1" x14ac:dyDescent="0.2">
      <c r="A102" s="410"/>
      <c r="B102" s="344"/>
      <c r="C102" s="336"/>
      <c r="D102" s="150" t="s">
        <v>70</v>
      </c>
      <c r="E102" s="173">
        <f>G102</f>
        <v>2499.5902700000001</v>
      </c>
      <c r="F102" s="173">
        <f t="shared" si="26"/>
        <v>2499.5902700000001</v>
      </c>
      <c r="G102" s="173">
        <f>2499590.27/1000</f>
        <v>2499.5902700000001</v>
      </c>
      <c r="H102" s="183">
        <v>0</v>
      </c>
      <c r="I102" s="183">
        <v>0</v>
      </c>
      <c r="J102" s="183">
        <v>0</v>
      </c>
      <c r="K102" s="173">
        <v>0</v>
      </c>
      <c r="L102" s="365"/>
      <c r="M102" s="350"/>
    </row>
    <row r="103" spans="1:13" s="92" customFormat="1" ht="18.75" customHeight="1" x14ac:dyDescent="0.2">
      <c r="A103" s="409" t="s">
        <v>307</v>
      </c>
      <c r="B103" s="342" t="s">
        <v>375</v>
      </c>
      <c r="C103" s="277" t="s">
        <v>104</v>
      </c>
      <c r="D103" s="95" t="s">
        <v>31</v>
      </c>
      <c r="E103" s="185">
        <f>E104</f>
        <v>0</v>
      </c>
      <c r="F103" s="185">
        <f t="shared" ref="F103:F104" si="27">SUM(G103:K103)</f>
        <v>30</v>
      </c>
      <c r="G103" s="185">
        <f>G104</f>
        <v>0</v>
      </c>
      <c r="H103" s="114">
        <f>H104</f>
        <v>30</v>
      </c>
      <c r="I103" s="114">
        <f>I104</f>
        <v>0</v>
      </c>
      <c r="J103" s="114">
        <f>J104</f>
        <v>0</v>
      </c>
      <c r="K103" s="185">
        <f t="shared" si="24"/>
        <v>0</v>
      </c>
      <c r="L103" s="365" t="s">
        <v>69</v>
      </c>
      <c r="M103" s="348" t="s">
        <v>187</v>
      </c>
    </row>
    <row r="104" spans="1:13" s="92" customFormat="1" ht="99" customHeight="1" x14ac:dyDescent="0.2">
      <c r="A104" s="410"/>
      <c r="B104" s="344"/>
      <c r="C104" s="336"/>
      <c r="D104" s="170" t="s">
        <v>70</v>
      </c>
      <c r="E104" s="186">
        <f>G104</f>
        <v>0</v>
      </c>
      <c r="F104" s="186">
        <f t="shared" si="27"/>
        <v>30</v>
      </c>
      <c r="G104" s="186">
        <v>0</v>
      </c>
      <c r="H104" s="183">
        <v>30</v>
      </c>
      <c r="I104" s="183">
        <v>0</v>
      </c>
      <c r="J104" s="183">
        <v>0</v>
      </c>
      <c r="K104" s="186">
        <v>0</v>
      </c>
      <c r="L104" s="365"/>
      <c r="M104" s="350"/>
    </row>
    <row r="105" spans="1:13" s="92" customFormat="1" ht="18.75" customHeight="1" x14ac:dyDescent="0.2">
      <c r="A105" s="409" t="s">
        <v>307</v>
      </c>
      <c r="B105" s="342" t="s">
        <v>397</v>
      </c>
      <c r="C105" s="277" t="s">
        <v>104</v>
      </c>
      <c r="D105" s="95" t="s">
        <v>31</v>
      </c>
      <c r="E105" s="174">
        <f>E106</f>
        <v>0</v>
      </c>
      <c r="F105" s="174">
        <f t="shared" si="23"/>
        <v>0</v>
      </c>
      <c r="G105" s="174">
        <f>G106</f>
        <v>0</v>
      </c>
      <c r="H105" s="114">
        <f>H106</f>
        <v>0</v>
      </c>
      <c r="I105" s="114">
        <f>I106</f>
        <v>0</v>
      </c>
      <c r="J105" s="114">
        <f>J106</f>
        <v>0</v>
      </c>
      <c r="K105" s="174">
        <f t="shared" si="24"/>
        <v>0</v>
      </c>
      <c r="L105" s="365" t="s">
        <v>69</v>
      </c>
      <c r="M105" s="348" t="s">
        <v>187</v>
      </c>
    </row>
    <row r="106" spans="1:13" s="92" customFormat="1" ht="99" customHeight="1" x14ac:dyDescent="0.2">
      <c r="A106" s="410"/>
      <c r="B106" s="344"/>
      <c r="C106" s="336"/>
      <c r="D106" s="93" t="s">
        <v>70</v>
      </c>
      <c r="E106" s="173">
        <f>G106</f>
        <v>0</v>
      </c>
      <c r="F106" s="173">
        <f t="shared" si="23"/>
        <v>0</v>
      </c>
      <c r="G106" s="173">
        <v>0</v>
      </c>
      <c r="H106" s="183">
        <v>0</v>
      </c>
      <c r="I106" s="183">
        <v>0</v>
      </c>
      <c r="J106" s="183">
        <v>0</v>
      </c>
      <c r="K106" s="173">
        <v>0</v>
      </c>
      <c r="L106" s="365"/>
      <c r="M106" s="350"/>
    </row>
    <row r="107" spans="1:13" ht="19.5" customHeight="1" x14ac:dyDescent="0.2">
      <c r="A107" s="203" t="s">
        <v>35</v>
      </c>
      <c r="B107" s="203"/>
      <c r="C107" s="203"/>
      <c r="D107" s="42" t="s">
        <v>36</v>
      </c>
      <c r="E107" s="182">
        <f>E108+E110</f>
        <v>37882.112949999995</v>
      </c>
      <c r="F107" s="182">
        <f t="shared" si="23"/>
        <v>177104.91484000001</v>
      </c>
      <c r="G107" s="182">
        <f>G108+G110</f>
        <v>37882.112949999995</v>
      </c>
      <c r="H107" s="114">
        <f>H108+H110</f>
        <v>35924.101889999998</v>
      </c>
      <c r="I107" s="114">
        <f t="shared" ref="I107:K107" si="28">I108+I110</f>
        <v>34401.700000000004</v>
      </c>
      <c r="J107" s="114">
        <f t="shared" si="28"/>
        <v>34448.5</v>
      </c>
      <c r="K107" s="182">
        <f t="shared" si="28"/>
        <v>34448.5</v>
      </c>
      <c r="L107" s="41"/>
      <c r="M107" s="41"/>
    </row>
    <row r="108" spans="1:13" ht="15" customHeight="1" x14ac:dyDescent="0.2">
      <c r="A108" s="203"/>
      <c r="B108" s="203"/>
      <c r="C108" s="203"/>
      <c r="D108" s="371" t="s">
        <v>110</v>
      </c>
      <c r="E108" s="354">
        <f>G108</f>
        <v>37882.112949999995</v>
      </c>
      <c r="F108" s="354">
        <f>SUM(G108:K109)</f>
        <v>177104.91484000001</v>
      </c>
      <c r="G108" s="374">
        <f>G69</f>
        <v>37882.112949999995</v>
      </c>
      <c r="H108" s="431">
        <f>H69</f>
        <v>35924.101889999998</v>
      </c>
      <c r="I108" s="431">
        <f>I69</f>
        <v>34401.700000000004</v>
      </c>
      <c r="J108" s="431">
        <f>J69</f>
        <v>34448.5</v>
      </c>
      <c r="K108" s="374">
        <f>K69</f>
        <v>34448.5</v>
      </c>
      <c r="L108" s="373"/>
      <c r="M108" s="373"/>
    </row>
    <row r="109" spans="1:13" ht="50.25" customHeight="1" x14ac:dyDescent="0.2">
      <c r="A109" s="203"/>
      <c r="B109" s="203"/>
      <c r="C109" s="203"/>
      <c r="D109" s="372"/>
      <c r="E109" s="354"/>
      <c r="F109" s="354"/>
      <c r="G109" s="375"/>
      <c r="H109" s="432"/>
      <c r="I109" s="432"/>
      <c r="J109" s="432"/>
      <c r="K109" s="375"/>
      <c r="L109" s="373"/>
      <c r="M109" s="373"/>
    </row>
    <row r="110" spans="1:13" ht="51" x14ac:dyDescent="0.2">
      <c r="A110" s="203"/>
      <c r="B110" s="203"/>
      <c r="C110" s="203"/>
      <c r="D110" s="28" t="s">
        <v>45</v>
      </c>
      <c r="E110" s="178">
        <f>I110</f>
        <v>0</v>
      </c>
      <c r="F110" s="178">
        <f>SUM(G110:K110)</f>
        <v>0</v>
      </c>
      <c r="G110" s="178">
        <v>0</v>
      </c>
      <c r="H110" s="114">
        <v>0</v>
      </c>
      <c r="I110" s="114">
        <v>0</v>
      </c>
      <c r="J110" s="114">
        <v>0</v>
      </c>
      <c r="K110" s="178">
        <v>0</v>
      </c>
      <c r="L110" s="44"/>
      <c r="M110" s="44"/>
    </row>
    <row r="111" spans="1:13" ht="33" customHeight="1" x14ac:dyDescent="0.2">
      <c r="A111" s="386" t="s">
        <v>103</v>
      </c>
      <c r="B111" s="386"/>
      <c r="C111" s="386"/>
      <c r="D111" s="386"/>
      <c r="E111" s="386"/>
      <c r="F111" s="386"/>
      <c r="G111" s="386"/>
      <c r="H111" s="386"/>
      <c r="I111" s="386"/>
      <c r="J111" s="386"/>
      <c r="K111" s="386"/>
      <c r="L111" s="386"/>
      <c r="M111" s="386"/>
    </row>
    <row r="112" spans="1:13" s="35" customFormat="1" ht="21.75" customHeight="1" x14ac:dyDescent="0.2">
      <c r="A112" s="359" t="s">
        <v>2</v>
      </c>
      <c r="B112" s="393" t="s">
        <v>157</v>
      </c>
      <c r="C112" s="394"/>
      <c r="D112" s="32" t="s">
        <v>31</v>
      </c>
      <c r="E112" s="114">
        <f>G112</f>
        <v>7117.8265600000004</v>
      </c>
      <c r="F112" s="114">
        <f>SUM(G112:K112)</f>
        <v>38102.726560000003</v>
      </c>
      <c r="G112" s="114">
        <f t="shared" ref="G112:K112" si="29">G113</f>
        <v>7117.8265600000004</v>
      </c>
      <c r="H112" s="114">
        <f t="shared" si="29"/>
        <v>7632.9000000000005</v>
      </c>
      <c r="I112" s="114">
        <f t="shared" si="29"/>
        <v>7776.8</v>
      </c>
      <c r="J112" s="114">
        <f t="shared" si="29"/>
        <v>7787.6</v>
      </c>
      <c r="K112" s="114">
        <f t="shared" si="29"/>
        <v>7787.6</v>
      </c>
      <c r="L112" s="356" t="s">
        <v>71</v>
      </c>
      <c r="M112" s="366"/>
    </row>
    <row r="113" spans="1:17" s="35" customFormat="1" ht="75.75" customHeight="1" x14ac:dyDescent="0.2">
      <c r="A113" s="359"/>
      <c r="B113" s="404"/>
      <c r="C113" s="405"/>
      <c r="D113" s="33" t="s">
        <v>180</v>
      </c>
      <c r="E113" s="114">
        <f>G113</f>
        <v>7117.8265600000004</v>
      </c>
      <c r="F113" s="183">
        <f>SUM(G113:K113)</f>
        <v>38102.726560000003</v>
      </c>
      <c r="G113" s="183">
        <f>G114+G116+G118+G120+G122+G124+G126+G128+G131</f>
        <v>7117.8265600000004</v>
      </c>
      <c r="H113" s="183">
        <f t="shared" ref="H113:K113" si="30">H114+H116+H118+H120+H122+H124+H126+H128</f>
        <v>7632.9000000000005</v>
      </c>
      <c r="I113" s="183">
        <f t="shared" si="30"/>
        <v>7776.8</v>
      </c>
      <c r="J113" s="183">
        <f t="shared" si="30"/>
        <v>7787.6</v>
      </c>
      <c r="K113" s="183">
        <f t="shared" si="30"/>
        <v>7787.6</v>
      </c>
      <c r="L113" s="368"/>
      <c r="M113" s="367"/>
    </row>
    <row r="114" spans="1:17" s="92" customFormat="1" ht="18" customHeight="1" x14ac:dyDescent="0.2">
      <c r="A114" s="390" t="s">
        <v>32</v>
      </c>
      <c r="B114" s="406" t="s">
        <v>236</v>
      </c>
      <c r="C114" s="407" t="s">
        <v>104</v>
      </c>
      <c r="D114" s="95" t="s">
        <v>31</v>
      </c>
      <c r="E114" s="174">
        <f>E115</f>
        <v>6511.3</v>
      </c>
      <c r="F114" s="174">
        <f t="shared" ref="F114:K124" si="31">F115</f>
        <v>32265.3</v>
      </c>
      <c r="G114" s="174">
        <f t="shared" si="31"/>
        <v>6220.1</v>
      </c>
      <c r="H114" s="114">
        <f t="shared" si="31"/>
        <v>6511.3</v>
      </c>
      <c r="I114" s="114">
        <f t="shared" si="31"/>
        <v>6511.3</v>
      </c>
      <c r="J114" s="114">
        <f t="shared" si="31"/>
        <v>6511.3</v>
      </c>
      <c r="K114" s="174">
        <f t="shared" si="31"/>
        <v>6511.3</v>
      </c>
      <c r="L114" s="356" t="s">
        <v>71</v>
      </c>
      <c r="M114" s="229"/>
    </row>
    <row r="115" spans="1:17" s="92" customFormat="1" ht="61.5" customHeight="1" x14ac:dyDescent="0.2">
      <c r="A115" s="390"/>
      <c r="B115" s="406"/>
      <c r="C115" s="408"/>
      <c r="D115" s="93" t="s">
        <v>85</v>
      </c>
      <c r="E115" s="173">
        <f>I115</f>
        <v>6511.3</v>
      </c>
      <c r="F115" s="173">
        <f>G115+H115+I115+J115+K115</f>
        <v>32265.3</v>
      </c>
      <c r="G115" s="173">
        <v>6220.1</v>
      </c>
      <c r="H115" s="183">
        <v>6511.3</v>
      </c>
      <c r="I115" s="183">
        <v>6511.3</v>
      </c>
      <c r="J115" s="183">
        <v>6511.3</v>
      </c>
      <c r="K115" s="173">
        <v>6511.3</v>
      </c>
      <c r="L115" s="368"/>
      <c r="M115" s="230"/>
    </row>
    <row r="116" spans="1:17" s="92" customFormat="1" ht="18" customHeight="1" x14ac:dyDescent="0.2">
      <c r="A116" s="352" t="s">
        <v>33</v>
      </c>
      <c r="B116" s="353" t="s">
        <v>237</v>
      </c>
      <c r="C116" s="345" t="s">
        <v>104</v>
      </c>
      <c r="D116" s="95" t="s">
        <v>31</v>
      </c>
      <c r="E116" s="174">
        <f>E117</f>
        <v>270.5</v>
      </c>
      <c r="F116" s="174">
        <f t="shared" si="31"/>
        <v>1383.6</v>
      </c>
      <c r="G116" s="174">
        <f t="shared" si="31"/>
        <v>280</v>
      </c>
      <c r="H116" s="114">
        <f t="shared" si="31"/>
        <v>270.5</v>
      </c>
      <c r="I116" s="114">
        <f t="shared" si="31"/>
        <v>270.5</v>
      </c>
      <c r="J116" s="114">
        <f t="shared" si="31"/>
        <v>281.3</v>
      </c>
      <c r="K116" s="174">
        <f t="shared" si="31"/>
        <v>281.3</v>
      </c>
      <c r="L116" s="348" t="s">
        <v>71</v>
      </c>
      <c r="M116" s="261"/>
    </row>
    <row r="117" spans="1:17" s="92" customFormat="1" ht="45" customHeight="1" x14ac:dyDescent="0.2">
      <c r="A117" s="352"/>
      <c r="B117" s="353"/>
      <c r="C117" s="347"/>
      <c r="D117" s="93" t="s">
        <v>85</v>
      </c>
      <c r="E117" s="173">
        <f>I117</f>
        <v>270.5</v>
      </c>
      <c r="F117" s="173">
        <f>G117+H117+I117+J117+K117</f>
        <v>1383.6</v>
      </c>
      <c r="G117" s="173">
        <v>280</v>
      </c>
      <c r="H117" s="183">
        <v>270.5</v>
      </c>
      <c r="I117" s="183">
        <v>270.5</v>
      </c>
      <c r="J117" s="183">
        <v>281.3</v>
      </c>
      <c r="K117" s="173">
        <v>281.3</v>
      </c>
      <c r="L117" s="350"/>
      <c r="M117" s="265"/>
    </row>
    <row r="118" spans="1:17" s="92" customFormat="1" ht="18" customHeight="1" x14ac:dyDescent="0.2">
      <c r="A118" s="352" t="s">
        <v>34</v>
      </c>
      <c r="B118" s="353" t="s">
        <v>238</v>
      </c>
      <c r="C118" s="345" t="s">
        <v>104</v>
      </c>
      <c r="D118" s="95" t="s">
        <v>31</v>
      </c>
      <c r="E118" s="174">
        <f>E119</f>
        <v>200</v>
      </c>
      <c r="F118" s="174">
        <f t="shared" si="31"/>
        <v>793.11655999999994</v>
      </c>
      <c r="G118" s="174">
        <f t="shared" si="31"/>
        <v>47.11656</v>
      </c>
      <c r="H118" s="114">
        <f t="shared" si="31"/>
        <v>146</v>
      </c>
      <c r="I118" s="114">
        <f t="shared" si="31"/>
        <v>200</v>
      </c>
      <c r="J118" s="114">
        <f t="shared" si="31"/>
        <v>200</v>
      </c>
      <c r="K118" s="174">
        <f t="shared" si="31"/>
        <v>200</v>
      </c>
      <c r="L118" s="348" t="s">
        <v>71</v>
      </c>
      <c r="M118" s="348" t="s">
        <v>182</v>
      </c>
    </row>
    <row r="119" spans="1:17" s="92" customFormat="1" ht="39" customHeight="1" x14ac:dyDescent="0.2">
      <c r="A119" s="352"/>
      <c r="B119" s="353"/>
      <c r="C119" s="347"/>
      <c r="D119" s="93" t="s">
        <v>85</v>
      </c>
      <c r="E119" s="173">
        <f>I119</f>
        <v>200</v>
      </c>
      <c r="F119" s="173">
        <f>G119+H119+I119+J119+K119</f>
        <v>793.11655999999994</v>
      </c>
      <c r="G119" s="173">
        <f>47116.56/1000</f>
        <v>47.11656</v>
      </c>
      <c r="H119" s="183">
        <v>146</v>
      </c>
      <c r="I119" s="183">
        <v>200</v>
      </c>
      <c r="J119" s="183">
        <v>200</v>
      </c>
      <c r="K119" s="173">
        <v>200</v>
      </c>
      <c r="L119" s="350"/>
      <c r="M119" s="350"/>
    </row>
    <row r="120" spans="1:17" s="92" customFormat="1" ht="18" customHeight="1" x14ac:dyDescent="0.2">
      <c r="A120" s="352" t="s">
        <v>72</v>
      </c>
      <c r="B120" s="353" t="s">
        <v>239</v>
      </c>
      <c r="C120" s="345" t="s">
        <v>104</v>
      </c>
      <c r="D120" s="95" t="s">
        <v>31</v>
      </c>
      <c r="E120" s="174">
        <f>E121</f>
        <v>5</v>
      </c>
      <c r="F120" s="174">
        <f t="shared" si="31"/>
        <v>25</v>
      </c>
      <c r="G120" s="174">
        <f t="shared" si="31"/>
        <v>5</v>
      </c>
      <c r="H120" s="114">
        <f t="shared" si="31"/>
        <v>5</v>
      </c>
      <c r="I120" s="114">
        <f t="shared" si="31"/>
        <v>5</v>
      </c>
      <c r="J120" s="114">
        <f t="shared" si="31"/>
        <v>5</v>
      </c>
      <c r="K120" s="174">
        <f t="shared" si="31"/>
        <v>5</v>
      </c>
      <c r="L120" s="348" t="s">
        <v>71</v>
      </c>
      <c r="M120" s="348" t="s">
        <v>296</v>
      </c>
    </row>
    <row r="121" spans="1:17" s="92" customFormat="1" ht="38.25" customHeight="1" x14ac:dyDescent="0.2">
      <c r="A121" s="352"/>
      <c r="B121" s="353"/>
      <c r="C121" s="347"/>
      <c r="D121" s="93" t="s">
        <v>85</v>
      </c>
      <c r="E121" s="173">
        <f>I121</f>
        <v>5</v>
      </c>
      <c r="F121" s="173">
        <f>G121+H121+I121+J121+K121</f>
        <v>25</v>
      </c>
      <c r="G121" s="173">
        <v>5</v>
      </c>
      <c r="H121" s="183">
        <v>5</v>
      </c>
      <c r="I121" s="183">
        <v>5</v>
      </c>
      <c r="J121" s="183">
        <v>5</v>
      </c>
      <c r="K121" s="173">
        <v>5</v>
      </c>
      <c r="L121" s="350"/>
      <c r="M121" s="350"/>
    </row>
    <row r="122" spans="1:17" s="92" customFormat="1" ht="18" customHeight="1" x14ac:dyDescent="0.2">
      <c r="A122" s="352" t="s">
        <v>73</v>
      </c>
      <c r="B122" s="353" t="s">
        <v>240</v>
      </c>
      <c r="C122" s="345" t="s">
        <v>104</v>
      </c>
      <c r="D122" s="95" t="s">
        <v>31</v>
      </c>
      <c r="E122" s="174">
        <f>E123</f>
        <v>200</v>
      </c>
      <c r="F122" s="174">
        <f t="shared" si="31"/>
        <v>863.1</v>
      </c>
      <c r="G122" s="174">
        <f t="shared" si="31"/>
        <v>193.1</v>
      </c>
      <c r="H122" s="114">
        <f t="shared" si="31"/>
        <v>70</v>
      </c>
      <c r="I122" s="114">
        <f t="shared" si="31"/>
        <v>200</v>
      </c>
      <c r="J122" s="114">
        <f t="shared" si="31"/>
        <v>200</v>
      </c>
      <c r="K122" s="174">
        <f t="shared" si="31"/>
        <v>200</v>
      </c>
      <c r="L122" s="348" t="s">
        <v>71</v>
      </c>
      <c r="M122" s="348" t="s">
        <v>183</v>
      </c>
    </row>
    <row r="123" spans="1:17" s="92" customFormat="1" ht="50.25" customHeight="1" x14ac:dyDescent="0.2">
      <c r="A123" s="352"/>
      <c r="B123" s="353"/>
      <c r="C123" s="347"/>
      <c r="D123" s="93" t="s">
        <v>85</v>
      </c>
      <c r="E123" s="173">
        <f>I123</f>
        <v>200</v>
      </c>
      <c r="F123" s="173">
        <f>G123+H123+I123+J123+K123</f>
        <v>863.1</v>
      </c>
      <c r="G123" s="173">
        <f>193100/1000</f>
        <v>193.1</v>
      </c>
      <c r="H123" s="183">
        <v>70</v>
      </c>
      <c r="I123" s="183">
        <v>200</v>
      </c>
      <c r="J123" s="183">
        <v>200</v>
      </c>
      <c r="K123" s="173">
        <v>200</v>
      </c>
      <c r="L123" s="350"/>
      <c r="M123" s="350"/>
    </row>
    <row r="124" spans="1:17" s="92" customFormat="1" ht="18" customHeight="1" x14ac:dyDescent="0.2">
      <c r="A124" s="352" t="s">
        <v>74</v>
      </c>
      <c r="B124" s="353" t="s">
        <v>243</v>
      </c>
      <c r="C124" s="345" t="s">
        <v>104</v>
      </c>
      <c r="D124" s="95" t="s">
        <v>31</v>
      </c>
      <c r="E124" s="174">
        <f>E125</f>
        <v>200</v>
      </c>
      <c r="F124" s="174">
        <f t="shared" si="31"/>
        <v>919.79</v>
      </c>
      <c r="G124" s="174">
        <f t="shared" si="31"/>
        <v>37.79</v>
      </c>
      <c r="H124" s="114">
        <f t="shared" si="31"/>
        <v>282</v>
      </c>
      <c r="I124" s="114">
        <f t="shared" si="31"/>
        <v>200</v>
      </c>
      <c r="J124" s="114">
        <f t="shared" si="31"/>
        <v>200</v>
      </c>
      <c r="K124" s="174">
        <f t="shared" si="31"/>
        <v>200</v>
      </c>
      <c r="L124" s="348" t="s">
        <v>71</v>
      </c>
      <c r="M124" s="348" t="s">
        <v>177</v>
      </c>
    </row>
    <row r="125" spans="1:17" s="92" customFormat="1" ht="55.5" customHeight="1" x14ac:dyDescent="0.2">
      <c r="A125" s="352"/>
      <c r="B125" s="353"/>
      <c r="C125" s="347"/>
      <c r="D125" s="93" t="s">
        <v>85</v>
      </c>
      <c r="E125" s="173">
        <f>I125</f>
        <v>200</v>
      </c>
      <c r="F125" s="173">
        <f>G125+H125+I125+J125+K125</f>
        <v>919.79</v>
      </c>
      <c r="G125" s="173">
        <f>37790/1000</f>
        <v>37.79</v>
      </c>
      <c r="H125" s="183">
        <v>282</v>
      </c>
      <c r="I125" s="183">
        <v>200</v>
      </c>
      <c r="J125" s="183">
        <v>200</v>
      </c>
      <c r="K125" s="173">
        <v>200</v>
      </c>
      <c r="L125" s="350"/>
      <c r="M125" s="350"/>
    </row>
    <row r="126" spans="1:17" s="92" customFormat="1" ht="19.5" customHeight="1" x14ac:dyDescent="0.2">
      <c r="A126" s="351" t="s">
        <v>75</v>
      </c>
      <c r="B126" s="353" t="s">
        <v>241</v>
      </c>
      <c r="C126" s="345" t="s">
        <v>104</v>
      </c>
      <c r="D126" s="95" t="s">
        <v>11</v>
      </c>
      <c r="E126" s="174">
        <f>E127</f>
        <v>300</v>
      </c>
      <c r="F126" s="174">
        <f t="shared" ref="F126:K128" si="32">F127</f>
        <v>1488.62</v>
      </c>
      <c r="G126" s="174">
        <f t="shared" si="32"/>
        <v>330.52</v>
      </c>
      <c r="H126" s="114">
        <f t="shared" si="32"/>
        <v>258.10000000000002</v>
      </c>
      <c r="I126" s="114">
        <f t="shared" si="32"/>
        <v>300</v>
      </c>
      <c r="J126" s="114">
        <f t="shared" si="32"/>
        <v>300</v>
      </c>
      <c r="K126" s="174">
        <f t="shared" si="32"/>
        <v>300</v>
      </c>
      <c r="L126" s="348" t="s">
        <v>71</v>
      </c>
      <c r="M126" s="348" t="s">
        <v>184</v>
      </c>
    </row>
    <row r="127" spans="1:17" s="92" customFormat="1" ht="81" customHeight="1" x14ac:dyDescent="0.2">
      <c r="A127" s="352"/>
      <c r="B127" s="353"/>
      <c r="C127" s="347"/>
      <c r="D127" s="93" t="s">
        <v>84</v>
      </c>
      <c r="E127" s="173">
        <f>I127</f>
        <v>300</v>
      </c>
      <c r="F127" s="173">
        <f>G127+H127+I127+J127+K127</f>
        <v>1488.62</v>
      </c>
      <c r="G127" s="173">
        <f>330520/1000</f>
        <v>330.52</v>
      </c>
      <c r="H127" s="183">
        <v>258.10000000000002</v>
      </c>
      <c r="I127" s="183">
        <v>300</v>
      </c>
      <c r="J127" s="183">
        <v>300</v>
      </c>
      <c r="K127" s="173">
        <v>300</v>
      </c>
      <c r="L127" s="350"/>
      <c r="M127" s="350"/>
      <c r="Q127" s="97"/>
    </row>
    <row r="128" spans="1:17" s="92" customFormat="1" ht="19.5" customHeight="1" x14ac:dyDescent="0.2">
      <c r="A128" s="351" t="s">
        <v>108</v>
      </c>
      <c r="B128" s="353" t="s">
        <v>242</v>
      </c>
      <c r="C128" s="345" t="s">
        <v>104</v>
      </c>
      <c r="D128" s="95" t="s">
        <v>11</v>
      </c>
      <c r="E128" s="174">
        <f>E129</f>
        <v>90</v>
      </c>
      <c r="F128" s="174">
        <f t="shared" si="32"/>
        <v>360</v>
      </c>
      <c r="G128" s="174">
        <f t="shared" si="32"/>
        <v>0</v>
      </c>
      <c r="H128" s="114">
        <f t="shared" si="32"/>
        <v>90</v>
      </c>
      <c r="I128" s="114">
        <f t="shared" si="32"/>
        <v>90</v>
      </c>
      <c r="J128" s="114">
        <f t="shared" si="32"/>
        <v>90</v>
      </c>
      <c r="K128" s="174">
        <f t="shared" si="32"/>
        <v>90</v>
      </c>
      <c r="L128" s="348" t="s">
        <v>71</v>
      </c>
      <c r="M128" s="348" t="s">
        <v>171</v>
      </c>
    </row>
    <row r="129" spans="1:20" s="92" customFormat="1" ht="50.25" customHeight="1" x14ac:dyDescent="0.2">
      <c r="A129" s="352"/>
      <c r="B129" s="353"/>
      <c r="C129" s="347"/>
      <c r="D129" s="93" t="s">
        <v>84</v>
      </c>
      <c r="E129" s="173">
        <f>I129</f>
        <v>90</v>
      </c>
      <c r="F129" s="173">
        <f>G129+H129+I129+J129+K129</f>
        <v>360</v>
      </c>
      <c r="G129" s="173">
        <v>0</v>
      </c>
      <c r="H129" s="183">
        <v>90</v>
      </c>
      <c r="I129" s="183">
        <v>90</v>
      </c>
      <c r="J129" s="183">
        <v>90</v>
      </c>
      <c r="K129" s="173">
        <v>90</v>
      </c>
      <c r="L129" s="350"/>
      <c r="M129" s="350"/>
      <c r="Q129" s="97"/>
    </row>
    <row r="130" spans="1:20" ht="124.5" customHeight="1" x14ac:dyDescent="0.2">
      <c r="A130" s="12" t="s">
        <v>109</v>
      </c>
      <c r="B130" s="60" t="s">
        <v>175</v>
      </c>
      <c r="C130" s="24" t="s">
        <v>104</v>
      </c>
      <c r="D130" s="9" t="s">
        <v>86</v>
      </c>
      <c r="E130" s="402" t="s">
        <v>63</v>
      </c>
      <c r="F130" s="402"/>
      <c r="G130" s="402"/>
      <c r="H130" s="402"/>
      <c r="I130" s="402"/>
      <c r="J130" s="402"/>
      <c r="K130" s="402"/>
      <c r="L130" s="58" t="s">
        <v>71</v>
      </c>
      <c r="M130" s="229"/>
    </row>
    <row r="131" spans="1:20" s="92" customFormat="1" ht="19.5" customHeight="1" x14ac:dyDescent="0.2">
      <c r="A131" s="351" t="s">
        <v>142</v>
      </c>
      <c r="B131" s="353" t="s">
        <v>301</v>
      </c>
      <c r="C131" s="345" t="s">
        <v>104</v>
      </c>
      <c r="D131" s="95" t="s">
        <v>11</v>
      </c>
      <c r="E131" s="174">
        <f>E132</f>
        <v>0</v>
      </c>
      <c r="F131" s="174">
        <f t="shared" ref="F131:K131" si="33">F132</f>
        <v>4.2</v>
      </c>
      <c r="G131" s="174">
        <f t="shared" si="33"/>
        <v>4.2</v>
      </c>
      <c r="H131" s="114">
        <f t="shared" si="33"/>
        <v>0</v>
      </c>
      <c r="I131" s="114">
        <f t="shared" si="33"/>
        <v>0</v>
      </c>
      <c r="J131" s="114">
        <f t="shared" si="33"/>
        <v>0</v>
      </c>
      <c r="K131" s="174">
        <f t="shared" si="33"/>
        <v>0</v>
      </c>
      <c r="L131" s="348" t="s">
        <v>71</v>
      </c>
      <c r="M131" s="364"/>
    </row>
    <row r="132" spans="1:20" s="92" customFormat="1" ht="50.25" customHeight="1" x14ac:dyDescent="0.2">
      <c r="A132" s="352"/>
      <c r="B132" s="353"/>
      <c r="C132" s="347"/>
      <c r="D132" s="112" t="s">
        <v>84</v>
      </c>
      <c r="E132" s="173">
        <f>I132</f>
        <v>0</v>
      </c>
      <c r="F132" s="173">
        <f>G132+H132+I132+J132+K132</f>
        <v>4.2</v>
      </c>
      <c r="G132" s="173">
        <f>4200/1000</f>
        <v>4.2</v>
      </c>
      <c r="H132" s="183">
        <v>0</v>
      </c>
      <c r="I132" s="183">
        <v>0</v>
      </c>
      <c r="J132" s="183">
        <v>0</v>
      </c>
      <c r="K132" s="173">
        <v>0</v>
      </c>
      <c r="L132" s="350"/>
      <c r="M132" s="364"/>
      <c r="Q132" s="97"/>
    </row>
    <row r="133" spans="1:20" ht="15.75" x14ac:dyDescent="0.2">
      <c r="A133" s="203" t="s">
        <v>35</v>
      </c>
      <c r="B133" s="203"/>
      <c r="C133" s="203"/>
      <c r="D133" s="25" t="s">
        <v>36</v>
      </c>
      <c r="E133" s="182">
        <f>G133</f>
        <v>7117.8265600000004</v>
      </c>
      <c r="F133" s="182">
        <f>SUM(G133:K133)</f>
        <v>38102.726560000003</v>
      </c>
      <c r="G133" s="182">
        <f>G134</f>
        <v>7117.8265600000004</v>
      </c>
      <c r="H133" s="114">
        <f t="shared" ref="H133:K133" si="34">H134</f>
        <v>7632.9000000000005</v>
      </c>
      <c r="I133" s="114">
        <f t="shared" si="34"/>
        <v>7776.8</v>
      </c>
      <c r="J133" s="114">
        <f t="shared" si="34"/>
        <v>7787.6</v>
      </c>
      <c r="K133" s="182">
        <f t="shared" si="34"/>
        <v>7787.6</v>
      </c>
      <c r="L133" s="36"/>
      <c r="M133" s="230"/>
    </row>
    <row r="134" spans="1:20" ht="63.75" x14ac:dyDescent="0.2">
      <c r="A134" s="203"/>
      <c r="B134" s="203"/>
      <c r="C134" s="203"/>
      <c r="D134" s="27" t="s">
        <v>87</v>
      </c>
      <c r="E134" s="184">
        <f>G134</f>
        <v>7117.8265600000004</v>
      </c>
      <c r="F134" s="184">
        <f>SUM(G134:K134)</f>
        <v>38102.726560000003</v>
      </c>
      <c r="G134" s="184">
        <f>G112</f>
        <v>7117.8265600000004</v>
      </c>
      <c r="H134" s="114">
        <f>H112</f>
        <v>7632.9000000000005</v>
      </c>
      <c r="I134" s="114">
        <f>I112</f>
        <v>7776.8</v>
      </c>
      <c r="J134" s="114">
        <f>J112</f>
        <v>7787.6</v>
      </c>
      <c r="K134" s="184">
        <f>K112</f>
        <v>7787.6</v>
      </c>
      <c r="L134" s="37"/>
      <c r="M134" s="37"/>
    </row>
    <row r="135" spans="1:20" ht="20.25" customHeight="1" x14ac:dyDescent="0.2">
      <c r="A135" s="390" t="s">
        <v>37</v>
      </c>
      <c r="B135" s="390"/>
      <c r="C135" s="390"/>
      <c r="D135" s="25" t="s">
        <v>36</v>
      </c>
      <c r="E135" s="182">
        <f>G135</f>
        <v>139786.43033</v>
      </c>
      <c r="F135" s="182">
        <f>SUM(G135:K135)</f>
        <v>575982.56994000007</v>
      </c>
      <c r="G135" s="182">
        <f>G136+G137</f>
        <v>139786.43033</v>
      </c>
      <c r="H135" s="114">
        <f>H136+H137</f>
        <v>110216.73960999999</v>
      </c>
      <c r="I135" s="114">
        <f>I136+I137</f>
        <v>113836.00000000001</v>
      </c>
      <c r="J135" s="114">
        <f t="shared" ref="J135:K135" si="35">J136+J137</f>
        <v>106071.70000000001</v>
      </c>
      <c r="K135" s="182">
        <f t="shared" si="35"/>
        <v>106071.70000000001</v>
      </c>
      <c r="L135" s="38"/>
      <c r="M135" s="38"/>
      <c r="Q135" s="20">
        <f>H135-118136.2</f>
        <v>-7919.4603900000075</v>
      </c>
    </row>
    <row r="136" spans="1:20" ht="71.25" customHeight="1" x14ac:dyDescent="0.2">
      <c r="A136" s="390"/>
      <c r="B136" s="390"/>
      <c r="C136" s="390"/>
      <c r="D136" s="27" t="s">
        <v>78</v>
      </c>
      <c r="E136" s="184">
        <f>G136</f>
        <v>113362.06032999999</v>
      </c>
      <c r="F136" s="184">
        <f>SUM(G136:K136)</f>
        <v>549558.19993999996</v>
      </c>
      <c r="G136" s="184">
        <f>G64+G108+G134</f>
        <v>113362.06032999999</v>
      </c>
      <c r="H136" s="184">
        <f>H64+H108+H134</f>
        <v>110216.73960999999</v>
      </c>
      <c r="I136" s="184">
        <f>I64+I108+I134</f>
        <v>113836.00000000001</v>
      </c>
      <c r="J136" s="184">
        <f>J64+J108+J134</f>
        <v>106071.70000000001</v>
      </c>
      <c r="K136" s="184">
        <f>K64+K108+K134</f>
        <v>106071.70000000001</v>
      </c>
      <c r="L136" s="37"/>
      <c r="M136" s="37"/>
      <c r="N136" s="31"/>
      <c r="O136" s="31"/>
      <c r="P136" s="31"/>
      <c r="Q136" s="31">
        <f>H136-I136</f>
        <v>-3619.2603900000249</v>
      </c>
      <c r="R136" s="31"/>
      <c r="S136" s="31"/>
      <c r="T136" s="31"/>
    </row>
    <row r="137" spans="1:20" ht="62.25" customHeight="1" x14ac:dyDescent="0.2">
      <c r="A137" s="390"/>
      <c r="B137" s="390"/>
      <c r="C137" s="390"/>
      <c r="D137" s="28" t="s">
        <v>12</v>
      </c>
      <c r="E137" s="178">
        <f>G137</f>
        <v>26424.37</v>
      </c>
      <c r="F137" s="178">
        <f>SUM(G137:K137)</f>
        <v>26424.37</v>
      </c>
      <c r="G137" s="178">
        <f>G66+G110</f>
        <v>26424.37</v>
      </c>
      <c r="H137" s="178">
        <f>H66+H110</f>
        <v>0</v>
      </c>
      <c r="I137" s="178">
        <f>I66+I110</f>
        <v>0</v>
      </c>
      <c r="J137" s="178">
        <f>J66+J110</f>
        <v>0</v>
      </c>
      <c r="K137" s="178">
        <f>K66+K110</f>
        <v>0</v>
      </c>
      <c r="L137" s="29"/>
      <c r="M137" s="29"/>
    </row>
    <row r="138" spans="1:20" x14ac:dyDescent="0.2">
      <c r="A138" s="39"/>
      <c r="B138" s="8"/>
      <c r="C138" s="8"/>
      <c r="D138" s="8"/>
      <c r="E138" s="22"/>
      <c r="F138" s="22"/>
      <c r="G138" s="22"/>
      <c r="H138" s="433"/>
      <c r="I138" s="433"/>
      <c r="J138" s="433"/>
      <c r="K138" s="22"/>
      <c r="L138" s="8"/>
      <c r="M138" s="8"/>
      <c r="N138" s="8"/>
    </row>
  </sheetData>
  <mergeCells count="306">
    <mergeCell ref="L103:L104"/>
    <mergeCell ref="M103:M104"/>
    <mergeCell ref="L101:L102"/>
    <mergeCell ref="M101:M102"/>
    <mergeCell ref="B89:B90"/>
    <mergeCell ref="B79:B80"/>
    <mergeCell ref="A89:A90"/>
    <mergeCell ref="A112:A113"/>
    <mergeCell ref="A107:C110"/>
    <mergeCell ref="A85:A86"/>
    <mergeCell ref="B91:B92"/>
    <mergeCell ref="A97:A98"/>
    <mergeCell ref="B97:B98"/>
    <mergeCell ref="C97:C98"/>
    <mergeCell ref="A93:A94"/>
    <mergeCell ref="B93:B94"/>
    <mergeCell ref="C93:C94"/>
    <mergeCell ref="C91:C92"/>
    <mergeCell ref="A91:A92"/>
    <mergeCell ref="A105:A106"/>
    <mergeCell ref="B105:B106"/>
    <mergeCell ref="C105:C106"/>
    <mergeCell ref="B85:B86"/>
    <mergeCell ref="A81:A82"/>
    <mergeCell ref="B99:B100"/>
    <mergeCell ref="A101:A102"/>
    <mergeCell ref="B101:B102"/>
    <mergeCell ref="C101:C102"/>
    <mergeCell ref="B126:B127"/>
    <mergeCell ref="A95:A96"/>
    <mergeCell ref="B95:B96"/>
    <mergeCell ref="A118:A119"/>
    <mergeCell ref="B118:B119"/>
    <mergeCell ref="A116:A117"/>
    <mergeCell ref="B116:B117"/>
    <mergeCell ref="B112:C113"/>
    <mergeCell ref="B114:B115"/>
    <mergeCell ref="A124:A125"/>
    <mergeCell ref="A114:A115"/>
    <mergeCell ref="A122:A123"/>
    <mergeCell ref="B122:B123"/>
    <mergeCell ref="C114:C115"/>
    <mergeCell ref="C116:C117"/>
    <mergeCell ref="C120:C121"/>
    <mergeCell ref="A103:A104"/>
    <mergeCell ref="B103:B104"/>
    <mergeCell ref="C103:C104"/>
    <mergeCell ref="L38:L39"/>
    <mergeCell ref="A135:C137"/>
    <mergeCell ref="C128:C129"/>
    <mergeCell ref="C122:C123"/>
    <mergeCell ref="C124:C125"/>
    <mergeCell ref="C126:C127"/>
    <mergeCell ref="A12:A13"/>
    <mergeCell ref="A14:A15"/>
    <mergeCell ref="B14:B15"/>
    <mergeCell ref="A47:A48"/>
    <mergeCell ref="B47:B48"/>
    <mergeCell ref="A63:C66"/>
    <mergeCell ref="A133:C134"/>
    <mergeCell ref="A120:A121"/>
    <mergeCell ref="B120:B121"/>
    <mergeCell ref="A128:A129"/>
    <mergeCell ref="A87:A88"/>
    <mergeCell ref="B87:B88"/>
    <mergeCell ref="B68:C70"/>
    <mergeCell ref="A111:M111"/>
    <mergeCell ref="L32:L33"/>
    <mergeCell ref="E130:K130"/>
    <mergeCell ref="L64:L65"/>
    <mergeCell ref="A99:A100"/>
    <mergeCell ref="C40:C41"/>
    <mergeCell ref="B128:B129"/>
    <mergeCell ref="B124:B125"/>
    <mergeCell ref="C49:C50"/>
    <mergeCell ref="M8:M9"/>
    <mergeCell ref="A32:A33"/>
    <mergeCell ref="B32:B33"/>
    <mergeCell ref="M28:M29"/>
    <mergeCell ref="M32:M33"/>
    <mergeCell ref="M34:M35"/>
    <mergeCell ref="M44:M46"/>
    <mergeCell ref="M47:M48"/>
    <mergeCell ref="M60:M62"/>
    <mergeCell ref="L14:L15"/>
    <mergeCell ref="A16:A17"/>
    <mergeCell ref="B16:B17"/>
    <mergeCell ref="L44:L46"/>
    <mergeCell ref="A44:A46"/>
    <mergeCell ref="M26:M27"/>
    <mergeCell ref="A26:A27"/>
    <mergeCell ref="B26:B27"/>
    <mergeCell ref="L122:L123"/>
    <mergeCell ref="C118:C119"/>
    <mergeCell ref="A126:A127"/>
    <mergeCell ref="A22:A23"/>
    <mergeCell ref="A20:A21"/>
    <mergeCell ref="C28:C29"/>
    <mergeCell ref="C30:C31"/>
    <mergeCell ref="C32:C33"/>
    <mergeCell ref="C34:C35"/>
    <mergeCell ref="E8:E9"/>
    <mergeCell ref="B30:B31"/>
    <mergeCell ref="A38:A39"/>
    <mergeCell ref="A36:A37"/>
    <mergeCell ref="B12:C13"/>
    <mergeCell ref="B38:B39"/>
    <mergeCell ref="C38:C39"/>
    <mergeCell ref="A34:A35"/>
    <mergeCell ref="B34:B35"/>
    <mergeCell ref="B22:B23"/>
    <mergeCell ref="B20:B21"/>
    <mergeCell ref="C22:C23"/>
    <mergeCell ref="B18:B19"/>
    <mergeCell ref="A1:M1"/>
    <mergeCell ref="A2:M2"/>
    <mergeCell ref="A3:M3"/>
    <mergeCell ref="C26:C27"/>
    <mergeCell ref="L16:L17"/>
    <mergeCell ref="L22:L23"/>
    <mergeCell ref="M22:M23"/>
    <mergeCell ref="L20:L21"/>
    <mergeCell ref="M24:M25"/>
    <mergeCell ref="M12:M13"/>
    <mergeCell ref="A5:M5"/>
    <mergeCell ref="A6:M6"/>
    <mergeCell ref="A18:A19"/>
    <mergeCell ref="L12:L13"/>
    <mergeCell ref="L8:L9"/>
    <mergeCell ref="C8:C9"/>
    <mergeCell ref="A11:M11"/>
    <mergeCell ref="F8:F9"/>
    <mergeCell ref="G8:K8"/>
    <mergeCell ref="A8:A9"/>
    <mergeCell ref="B8:B9"/>
    <mergeCell ref="D8:D9"/>
    <mergeCell ref="C18:C19"/>
    <mergeCell ref="C20:C21"/>
    <mergeCell ref="L26:L27"/>
    <mergeCell ref="A28:A29"/>
    <mergeCell ref="B28:B29"/>
    <mergeCell ref="A24:A25"/>
    <mergeCell ref="B24:B25"/>
    <mergeCell ref="L24:L25"/>
    <mergeCell ref="L105:L106"/>
    <mergeCell ref="M79:M80"/>
    <mergeCell ref="M81:M82"/>
    <mergeCell ref="C89:C90"/>
    <mergeCell ref="L85:L86"/>
    <mergeCell ref="C83:C84"/>
    <mergeCell ref="C85:C86"/>
    <mergeCell ref="C87:C88"/>
    <mergeCell ref="K64:K65"/>
    <mergeCell ref="M93:M94"/>
    <mergeCell ref="M95:M96"/>
    <mergeCell ref="M99:M100"/>
    <mergeCell ref="C99:C100"/>
    <mergeCell ref="L99:L100"/>
    <mergeCell ref="C77:C78"/>
    <mergeCell ref="L77:L78"/>
    <mergeCell ref="A30:A31"/>
    <mergeCell ref="A40:A41"/>
    <mergeCell ref="M40:M41"/>
    <mergeCell ref="M14:M15"/>
    <mergeCell ref="M87:M88"/>
    <mergeCell ref="M77:M78"/>
    <mergeCell ref="C95:C96"/>
    <mergeCell ref="M71:M72"/>
    <mergeCell ref="J69:J70"/>
    <mergeCell ref="L60:L62"/>
    <mergeCell ref="M69:M70"/>
    <mergeCell ref="K69:K70"/>
    <mergeCell ref="J64:J65"/>
    <mergeCell ref="C60:C62"/>
    <mergeCell ref="M64:M65"/>
    <mergeCell ref="G64:G65"/>
    <mergeCell ref="H64:H65"/>
    <mergeCell ref="M89:M90"/>
    <mergeCell ref="L83:L84"/>
    <mergeCell ref="F64:F65"/>
    <mergeCell ref="A67:M67"/>
    <mergeCell ref="M75:M76"/>
    <mergeCell ref="M73:M74"/>
    <mergeCell ref="A60:A62"/>
    <mergeCell ref="B60:B62"/>
    <mergeCell ref="M16:M17"/>
    <mergeCell ref="L108:L109"/>
    <mergeCell ref="L116:L117"/>
    <mergeCell ref="M20:M21"/>
    <mergeCell ref="L18:L19"/>
    <mergeCell ref="M18:M19"/>
    <mergeCell ref="C14:C15"/>
    <mergeCell ref="C16:C17"/>
    <mergeCell ref="C24:C25"/>
    <mergeCell ref="D64:D65"/>
    <mergeCell ref="L28:L29"/>
    <mergeCell ref="C47:C48"/>
    <mergeCell ref="B44:C46"/>
    <mergeCell ref="M49:M50"/>
    <mergeCell ref="B40:B41"/>
    <mergeCell ref="B36:B37"/>
    <mergeCell ref="L47:L48"/>
    <mergeCell ref="C36:C37"/>
    <mergeCell ref="L36:L37"/>
    <mergeCell ref="M36:M37"/>
    <mergeCell ref="L34:L35"/>
    <mergeCell ref="M38:M39"/>
    <mergeCell ref="L40:L41"/>
    <mergeCell ref="M30:M31"/>
    <mergeCell ref="L30:L31"/>
    <mergeCell ref="A75:A76"/>
    <mergeCell ref="B75:B76"/>
    <mergeCell ref="A73:A74"/>
    <mergeCell ref="L81:L82"/>
    <mergeCell ref="L75:L76"/>
    <mergeCell ref="A71:A72"/>
    <mergeCell ref="B71:B72"/>
    <mergeCell ref="C75:C76"/>
    <mergeCell ref="C73:C74"/>
    <mergeCell ref="M126:M127"/>
    <mergeCell ref="M112:M113"/>
    <mergeCell ref="L120:L121"/>
    <mergeCell ref="M122:M123"/>
    <mergeCell ref="L114:L115"/>
    <mergeCell ref="B77:B78"/>
    <mergeCell ref="I69:I70"/>
    <mergeCell ref="L73:L74"/>
    <mergeCell ref="E69:E70"/>
    <mergeCell ref="F69:F70"/>
    <mergeCell ref="B83:B84"/>
    <mergeCell ref="D108:D109"/>
    <mergeCell ref="E108:E109"/>
    <mergeCell ref="F108:F109"/>
    <mergeCell ref="L126:L127"/>
    <mergeCell ref="L118:L119"/>
    <mergeCell ref="M120:M121"/>
    <mergeCell ref="L112:L113"/>
    <mergeCell ref="M108:M109"/>
    <mergeCell ref="G108:G109"/>
    <mergeCell ref="H108:H109"/>
    <mergeCell ref="I108:I109"/>
    <mergeCell ref="J108:J109"/>
    <mergeCell ref="K108:K109"/>
    <mergeCell ref="A42:A43"/>
    <mergeCell ref="B42:B43"/>
    <mergeCell ref="C42:C43"/>
    <mergeCell ref="L42:L43"/>
    <mergeCell ref="M42:M43"/>
    <mergeCell ref="M130:M133"/>
    <mergeCell ref="M118:M119"/>
    <mergeCell ref="M116:M117"/>
    <mergeCell ref="M114:M115"/>
    <mergeCell ref="M124:M125"/>
    <mergeCell ref="L128:L129"/>
    <mergeCell ref="M128:M129"/>
    <mergeCell ref="L124:L125"/>
    <mergeCell ref="M83:M84"/>
    <mergeCell ref="M85:M86"/>
    <mergeCell ref="L91:L92"/>
    <mergeCell ref="L93:L94"/>
    <mergeCell ref="L95:L96"/>
    <mergeCell ref="M91:M92"/>
    <mergeCell ref="M97:M98"/>
    <mergeCell ref="L87:L88"/>
    <mergeCell ref="L89:L90"/>
    <mergeCell ref="L97:L98"/>
    <mergeCell ref="M105:M106"/>
    <mergeCell ref="A131:A132"/>
    <mergeCell ref="B131:B132"/>
    <mergeCell ref="C131:C132"/>
    <mergeCell ref="L131:L132"/>
    <mergeCell ref="A49:A50"/>
    <mergeCell ref="C71:C72"/>
    <mergeCell ref="C79:C80"/>
    <mergeCell ref="C81:C82"/>
    <mergeCell ref="L71:L72"/>
    <mergeCell ref="L79:L80"/>
    <mergeCell ref="B73:B74"/>
    <mergeCell ref="E64:E65"/>
    <mergeCell ref="G69:G70"/>
    <mergeCell ref="L49:L50"/>
    <mergeCell ref="B81:B82"/>
    <mergeCell ref="L69:L70"/>
    <mergeCell ref="A77:A78"/>
    <mergeCell ref="A79:A80"/>
    <mergeCell ref="I64:I65"/>
    <mergeCell ref="B49:B50"/>
    <mergeCell ref="A68:A70"/>
    <mergeCell ref="D69:D70"/>
    <mergeCell ref="H69:H70"/>
    <mergeCell ref="A83:A84"/>
    <mergeCell ref="A57:A59"/>
    <mergeCell ref="B57:B59"/>
    <mergeCell ref="C57:C59"/>
    <mergeCell ref="L57:L59"/>
    <mergeCell ref="M57:M59"/>
    <mergeCell ref="A51:A53"/>
    <mergeCell ref="B51:B53"/>
    <mergeCell ref="C51:C53"/>
    <mergeCell ref="L51:L53"/>
    <mergeCell ref="M51:M53"/>
    <mergeCell ref="A54:A56"/>
    <mergeCell ref="B54:B56"/>
    <mergeCell ref="C54:C56"/>
    <mergeCell ref="L54:L56"/>
    <mergeCell ref="M54:M56"/>
  </mergeCells>
  <pageMargins left="0.51181102362204722" right="0.51181102362204722" top="0.74803149606299213" bottom="0.74803149606299213" header="0.31496062992125984" footer="0.31496062992125984"/>
  <pageSetup paperSize="9" scale="66" fitToHeight="0" orientation="landscape" r:id="rId1"/>
  <rowBreaks count="7" manualBreakCount="7">
    <brk id="19" max="12" man="1"/>
    <brk id="33" max="12" man="1"/>
    <brk id="50" max="12" man="1"/>
    <brk id="72" max="12" man="1"/>
    <brk id="86" max="12" man="1"/>
    <brk id="104" max="12" man="1"/>
    <brk id="12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31"/>
  <sheetViews>
    <sheetView tabSelected="1" topLeftCell="A25" zoomScaleNormal="100" zoomScaleSheetLayoutView="100" workbookViewId="0">
      <selection activeCell="A29" sqref="A29:XFD29"/>
    </sheetView>
  </sheetViews>
  <sheetFormatPr defaultRowHeight="14.25" x14ac:dyDescent="0.2"/>
  <cols>
    <col min="1" max="1" width="6.5703125" style="140" customWidth="1"/>
    <col min="2" max="2" width="38.28515625" style="13" customWidth="1"/>
    <col min="3" max="5" width="9.140625" style="13"/>
    <col min="6" max="6" width="44.28515625" style="13" customWidth="1"/>
    <col min="7" max="7" width="13.42578125" style="13" customWidth="1"/>
    <col min="8" max="8" width="15" style="131" customWidth="1"/>
    <col min="9" max="16384" width="9.140625" style="13"/>
  </cols>
  <sheetData>
    <row r="1" spans="1:11" x14ac:dyDescent="0.2">
      <c r="A1" s="220" t="s">
        <v>133</v>
      </c>
      <c r="B1" s="220"/>
      <c r="C1" s="220"/>
      <c r="D1" s="220"/>
      <c r="E1" s="220"/>
      <c r="F1" s="220"/>
      <c r="G1" s="220"/>
      <c r="H1" s="220"/>
    </row>
    <row r="2" spans="1:11" x14ac:dyDescent="0.2">
      <c r="A2" s="220" t="s">
        <v>114</v>
      </c>
      <c r="B2" s="220"/>
      <c r="C2" s="220"/>
      <c r="D2" s="220"/>
      <c r="E2" s="220"/>
      <c r="F2" s="220"/>
      <c r="G2" s="220"/>
      <c r="H2" s="220"/>
    </row>
    <row r="3" spans="1:11" ht="15" x14ac:dyDescent="0.2">
      <c r="A3" s="220" t="s">
        <v>344</v>
      </c>
      <c r="B3" s="220"/>
      <c r="C3" s="220"/>
      <c r="D3" s="220"/>
      <c r="E3" s="220"/>
      <c r="F3" s="220"/>
      <c r="G3" s="220"/>
      <c r="H3" s="220"/>
    </row>
    <row r="4" spans="1:11" ht="15" x14ac:dyDescent="0.2">
      <c r="A4" s="130"/>
    </row>
    <row r="5" spans="1:11" x14ac:dyDescent="0.2">
      <c r="A5" s="249" t="s">
        <v>47</v>
      </c>
      <c r="B5" s="249"/>
      <c r="C5" s="249"/>
      <c r="D5" s="249"/>
      <c r="E5" s="249"/>
      <c r="F5" s="249"/>
      <c r="G5" s="249"/>
      <c r="H5" s="249"/>
    </row>
    <row r="6" spans="1:11" ht="40.5" customHeight="1" x14ac:dyDescent="0.2">
      <c r="A6" s="416" t="s">
        <v>345</v>
      </c>
      <c r="B6" s="416"/>
      <c r="C6" s="416"/>
      <c r="D6" s="416"/>
      <c r="E6" s="416"/>
      <c r="F6" s="416"/>
      <c r="G6" s="416"/>
      <c r="H6" s="416"/>
    </row>
    <row r="7" spans="1:11" ht="38.25" x14ac:dyDescent="0.2">
      <c r="A7" s="125" t="s">
        <v>48</v>
      </c>
      <c r="B7" s="132" t="s">
        <v>49</v>
      </c>
      <c r="C7" s="413" t="s">
        <v>50</v>
      </c>
      <c r="D7" s="413"/>
      <c r="E7" s="413"/>
      <c r="F7" s="413"/>
      <c r="G7" s="132" t="s">
        <v>1</v>
      </c>
      <c r="H7" s="133" t="s">
        <v>51</v>
      </c>
    </row>
    <row r="8" spans="1:11" ht="23.25" customHeight="1" x14ac:dyDescent="0.2">
      <c r="A8" s="411" t="s">
        <v>56</v>
      </c>
      <c r="B8" s="412"/>
      <c r="C8" s="412"/>
      <c r="D8" s="412"/>
      <c r="E8" s="412"/>
      <c r="F8" s="412"/>
      <c r="G8" s="412"/>
      <c r="H8" s="412"/>
    </row>
    <row r="9" spans="1:11" ht="87.75" customHeight="1" x14ac:dyDescent="0.2">
      <c r="A9" s="128" t="s">
        <v>32</v>
      </c>
      <c r="B9" s="134" t="s">
        <v>148</v>
      </c>
      <c r="C9" s="414" t="s">
        <v>329</v>
      </c>
      <c r="D9" s="414"/>
      <c r="E9" s="414"/>
      <c r="F9" s="414"/>
      <c r="G9" s="125" t="s">
        <v>151</v>
      </c>
      <c r="H9" s="127">
        <f>'Прил 2 Планируемые результаты'!E12</f>
        <v>38.5</v>
      </c>
    </row>
    <row r="10" spans="1:11" ht="85.5" customHeight="1" x14ac:dyDescent="0.2">
      <c r="A10" s="128" t="s">
        <v>33</v>
      </c>
      <c r="B10" s="124" t="s">
        <v>321</v>
      </c>
      <c r="C10" s="414" t="s">
        <v>330</v>
      </c>
      <c r="D10" s="414"/>
      <c r="E10" s="414"/>
      <c r="F10" s="414"/>
      <c r="G10" s="125" t="s">
        <v>151</v>
      </c>
      <c r="H10" s="127">
        <f>'Прил 2 Планируемые результаты'!E13</f>
        <v>77</v>
      </c>
    </row>
    <row r="11" spans="1:11" ht="136.5" customHeight="1" x14ac:dyDescent="0.2">
      <c r="A11" s="128" t="s">
        <v>34</v>
      </c>
      <c r="B11" s="124" t="s">
        <v>322</v>
      </c>
      <c r="C11" s="414" t="s">
        <v>150</v>
      </c>
      <c r="D11" s="414"/>
      <c r="E11" s="414"/>
      <c r="F11" s="414"/>
      <c r="G11" s="125" t="s">
        <v>151</v>
      </c>
      <c r="H11" s="127">
        <f>'Прил 2 Планируемые результаты'!E14</f>
        <v>21</v>
      </c>
    </row>
    <row r="12" spans="1:11" ht="93.75" customHeight="1" x14ac:dyDescent="0.2">
      <c r="A12" s="128" t="s">
        <v>72</v>
      </c>
      <c r="B12" s="135" t="s">
        <v>139</v>
      </c>
      <c r="C12" s="414" t="s">
        <v>331</v>
      </c>
      <c r="D12" s="414"/>
      <c r="E12" s="414"/>
      <c r="F12" s="414"/>
      <c r="G12" s="125" t="s">
        <v>152</v>
      </c>
      <c r="H12" s="158">
        <f>'Прил 2 Планируемые результаты'!E15</f>
        <v>71.88</v>
      </c>
      <c r="K12" s="136"/>
    </row>
    <row r="13" spans="1:11" ht="66.75" customHeight="1" x14ac:dyDescent="0.2">
      <c r="A13" s="128" t="s">
        <v>73</v>
      </c>
      <c r="B13" s="124" t="s">
        <v>323</v>
      </c>
      <c r="C13" s="414" t="s">
        <v>332</v>
      </c>
      <c r="D13" s="414"/>
      <c r="E13" s="414"/>
      <c r="F13" s="414"/>
      <c r="G13" s="125" t="s">
        <v>151</v>
      </c>
      <c r="H13" s="127">
        <f>'Прил 2 Планируемые результаты'!E17</f>
        <v>80</v>
      </c>
    </row>
    <row r="14" spans="1:11" ht="156" customHeight="1" x14ac:dyDescent="0.2">
      <c r="A14" s="128" t="s">
        <v>74</v>
      </c>
      <c r="B14" s="129" t="s">
        <v>140</v>
      </c>
      <c r="C14" s="414" t="s">
        <v>333</v>
      </c>
      <c r="D14" s="414"/>
      <c r="E14" s="414"/>
      <c r="F14" s="414"/>
      <c r="G14" s="125" t="s">
        <v>336</v>
      </c>
      <c r="H14" s="137">
        <v>1</v>
      </c>
    </row>
    <row r="15" spans="1:11" ht="38.25" customHeight="1" x14ac:dyDescent="0.2">
      <c r="A15" s="128" t="s">
        <v>75</v>
      </c>
      <c r="B15" s="129" t="s">
        <v>319</v>
      </c>
      <c r="C15" s="415" t="s">
        <v>334</v>
      </c>
      <c r="D15" s="415"/>
      <c r="E15" s="415"/>
      <c r="F15" s="415"/>
      <c r="G15" s="125" t="s">
        <v>336</v>
      </c>
      <c r="H15" s="137" t="s">
        <v>317</v>
      </c>
    </row>
    <row r="16" spans="1:11" ht="43.5" customHeight="1" x14ac:dyDescent="0.2">
      <c r="A16" s="128" t="s">
        <v>108</v>
      </c>
      <c r="B16" s="124" t="s">
        <v>320</v>
      </c>
      <c r="C16" s="414" t="s">
        <v>335</v>
      </c>
      <c r="D16" s="414"/>
      <c r="E16" s="414"/>
      <c r="F16" s="414"/>
      <c r="G16" s="125" t="s">
        <v>336</v>
      </c>
      <c r="H16" s="137" t="s">
        <v>317</v>
      </c>
    </row>
    <row r="17" spans="1:8" ht="194.25" customHeight="1" x14ac:dyDescent="0.2">
      <c r="A17" s="128" t="s">
        <v>109</v>
      </c>
      <c r="B17" s="129" t="s">
        <v>380</v>
      </c>
      <c r="C17" s="414" t="s">
        <v>400</v>
      </c>
      <c r="D17" s="414"/>
      <c r="E17" s="414"/>
      <c r="F17" s="414"/>
      <c r="G17" s="125" t="s">
        <v>151</v>
      </c>
      <c r="H17" s="157">
        <f>'Прил 2 Планируемые результаты'!E21</f>
        <v>10.26</v>
      </c>
    </row>
    <row r="18" spans="1:8" ht="182.25" customHeight="1" x14ac:dyDescent="0.2">
      <c r="A18" s="128" t="s">
        <v>142</v>
      </c>
      <c r="B18" s="129" t="s">
        <v>324</v>
      </c>
      <c r="C18" s="419" t="s">
        <v>358</v>
      </c>
      <c r="D18" s="420"/>
      <c r="E18" s="420"/>
      <c r="F18" s="421"/>
      <c r="G18" s="125" t="s">
        <v>3</v>
      </c>
      <c r="H18" s="127">
        <v>1</v>
      </c>
    </row>
    <row r="19" spans="1:8" ht="91.5" customHeight="1" x14ac:dyDescent="0.2">
      <c r="A19" s="128" t="s">
        <v>143</v>
      </c>
      <c r="B19" s="129" t="s">
        <v>337</v>
      </c>
      <c r="C19" s="419" t="s">
        <v>338</v>
      </c>
      <c r="D19" s="420"/>
      <c r="E19" s="420"/>
      <c r="F19" s="421"/>
      <c r="G19" s="125" t="s">
        <v>151</v>
      </c>
      <c r="H19" s="127">
        <f>'Прил 2 Планируемые результаты'!E23</f>
        <v>88.2</v>
      </c>
    </row>
    <row r="20" spans="1:8" ht="66.75" customHeight="1" x14ac:dyDescent="0.2">
      <c r="A20" s="128" t="s">
        <v>144</v>
      </c>
      <c r="B20" s="129" t="s">
        <v>309</v>
      </c>
      <c r="C20" s="414" t="s">
        <v>310</v>
      </c>
      <c r="D20" s="414"/>
      <c r="E20" s="414"/>
      <c r="F20" s="414"/>
      <c r="G20" s="125" t="s">
        <v>151</v>
      </c>
      <c r="H20" s="127" t="s">
        <v>317</v>
      </c>
    </row>
    <row r="21" spans="1:8" ht="64.5" customHeight="1" x14ac:dyDescent="0.2">
      <c r="A21" s="128" t="s">
        <v>145</v>
      </c>
      <c r="B21" s="129" t="s">
        <v>328</v>
      </c>
      <c r="C21" s="419" t="s">
        <v>339</v>
      </c>
      <c r="D21" s="420"/>
      <c r="E21" s="420"/>
      <c r="F21" s="421"/>
      <c r="G21" s="125" t="s">
        <v>151</v>
      </c>
      <c r="H21" s="127">
        <f>'Прил 2 Планируемые результаты'!E25</f>
        <v>21.4</v>
      </c>
    </row>
    <row r="22" spans="1:8" ht="94.5" customHeight="1" x14ac:dyDescent="0.2">
      <c r="A22" s="128" t="s">
        <v>146</v>
      </c>
      <c r="B22" s="129" t="s">
        <v>326</v>
      </c>
      <c r="C22" s="419" t="s">
        <v>340</v>
      </c>
      <c r="D22" s="420"/>
      <c r="E22" s="420"/>
      <c r="F22" s="421"/>
      <c r="G22" s="125" t="s">
        <v>151</v>
      </c>
      <c r="H22" s="127">
        <f>'Прил 2 Планируемые результаты'!E26</f>
        <v>6.1</v>
      </c>
    </row>
    <row r="23" spans="1:8" ht="93" customHeight="1" x14ac:dyDescent="0.2">
      <c r="A23" s="128" t="s">
        <v>147</v>
      </c>
      <c r="B23" s="129" t="s">
        <v>327</v>
      </c>
      <c r="C23" s="419" t="s">
        <v>341</v>
      </c>
      <c r="D23" s="420"/>
      <c r="E23" s="420"/>
      <c r="F23" s="421"/>
      <c r="G23" s="125" t="s">
        <v>151</v>
      </c>
      <c r="H23" s="437">
        <v>256.7</v>
      </c>
    </row>
    <row r="24" spans="1:8" ht="67.5" customHeight="1" x14ac:dyDescent="0.2">
      <c r="A24" s="128" t="s">
        <v>213</v>
      </c>
      <c r="B24" s="129" t="s">
        <v>313</v>
      </c>
      <c r="C24" s="419" t="s">
        <v>342</v>
      </c>
      <c r="D24" s="420"/>
      <c r="E24" s="420"/>
      <c r="F24" s="421"/>
      <c r="G24" s="125" t="s">
        <v>151</v>
      </c>
      <c r="H24" s="127">
        <f>'Прил 2 Планируемые результаты'!E28</f>
        <v>45.36</v>
      </c>
    </row>
    <row r="25" spans="1:8" ht="115.5" customHeight="1" x14ac:dyDescent="0.2">
      <c r="A25" s="128" t="s">
        <v>307</v>
      </c>
      <c r="B25" s="124" t="s">
        <v>137</v>
      </c>
      <c r="C25" s="414" t="s">
        <v>343</v>
      </c>
      <c r="D25" s="414"/>
      <c r="E25" s="414"/>
      <c r="F25" s="414"/>
      <c r="G25" s="125" t="s">
        <v>151</v>
      </c>
      <c r="H25" s="138">
        <f>'Прил 2 Планируемые результаты'!E29</f>
        <v>30</v>
      </c>
    </row>
    <row r="26" spans="1:8" ht="130.5" customHeight="1" x14ac:dyDescent="0.2">
      <c r="A26" s="128" t="s">
        <v>311</v>
      </c>
      <c r="B26" s="124" t="s">
        <v>138</v>
      </c>
      <c r="C26" s="414" t="s">
        <v>330</v>
      </c>
      <c r="D26" s="414"/>
      <c r="E26" s="414"/>
      <c r="F26" s="414"/>
      <c r="G26" s="125" t="s">
        <v>151</v>
      </c>
      <c r="H26" s="127">
        <f>'Прил 2 Планируемые результаты'!E30</f>
        <v>50</v>
      </c>
    </row>
    <row r="27" spans="1:8" ht="130.5" customHeight="1" x14ac:dyDescent="0.2">
      <c r="A27" s="128" t="s">
        <v>312</v>
      </c>
      <c r="B27" s="110" t="s">
        <v>325</v>
      </c>
      <c r="C27" s="414" t="s">
        <v>359</v>
      </c>
      <c r="D27" s="414"/>
      <c r="E27" s="414"/>
      <c r="F27" s="414"/>
      <c r="G27" s="141" t="s">
        <v>336</v>
      </c>
      <c r="H27" s="137" t="s">
        <v>317</v>
      </c>
    </row>
    <row r="28" spans="1:8" ht="78.75" customHeight="1" x14ac:dyDescent="0.2">
      <c r="A28" s="128" t="s">
        <v>356</v>
      </c>
      <c r="B28" s="110" t="s">
        <v>355</v>
      </c>
      <c r="C28" s="414" t="s">
        <v>357</v>
      </c>
      <c r="D28" s="414"/>
      <c r="E28" s="414"/>
      <c r="F28" s="414"/>
      <c r="G28" s="141" t="s">
        <v>151</v>
      </c>
      <c r="H28" s="137" t="s">
        <v>317</v>
      </c>
    </row>
    <row r="29" spans="1:8" ht="26.25" customHeight="1" x14ac:dyDescent="0.2">
      <c r="A29" s="417" t="s">
        <v>79</v>
      </c>
      <c r="B29" s="418"/>
      <c r="C29" s="418"/>
      <c r="D29" s="418"/>
      <c r="E29" s="418"/>
      <c r="F29" s="418"/>
      <c r="G29" s="418"/>
      <c r="H29" s="418"/>
    </row>
    <row r="30" spans="1:8" ht="165" customHeight="1" x14ac:dyDescent="0.2">
      <c r="A30" s="139" t="s">
        <v>32</v>
      </c>
      <c r="B30" s="124" t="s">
        <v>141</v>
      </c>
      <c r="C30" s="419" t="s">
        <v>361</v>
      </c>
      <c r="D30" s="420"/>
      <c r="E30" s="420"/>
      <c r="F30" s="421"/>
      <c r="G30" s="125" t="s">
        <v>151</v>
      </c>
      <c r="H30" s="137">
        <f>'Прил 2 Планируемые результаты'!E34</f>
        <v>100</v>
      </c>
    </row>
    <row r="31" spans="1:8" ht="98.25" customHeight="1" x14ac:dyDescent="0.2">
      <c r="A31" s="139" t="s">
        <v>33</v>
      </c>
      <c r="B31" s="124" t="s">
        <v>314</v>
      </c>
      <c r="C31" s="422" t="s">
        <v>360</v>
      </c>
      <c r="D31" s="423"/>
      <c r="E31" s="423"/>
      <c r="F31" s="424"/>
      <c r="G31" s="125" t="s">
        <v>151</v>
      </c>
      <c r="H31" s="137">
        <v>100</v>
      </c>
    </row>
  </sheetData>
  <mergeCells count="30">
    <mergeCell ref="A29:H29"/>
    <mergeCell ref="C17:F17"/>
    <mergeCell ref="C30:F30"/>
    <mergeCell ref="C31:F31"/>
    <mergeCell ref="C20:F20"/>
    <mergeCell ref="C18:F18"/>
    <mergeCell ref="C19:F19"/>
    <mergeCell ref="C21:F21"/>
    <mergeCell ref="C22:F22"/>
    <mergeCell ref="C23:F23"/>
    <mergeCell ref="C24:F24"/>
    <mergeCell ref="C26:F26"/>
    <mergeCell ref="C27:F27"/>
    <mergeCell ref="C28:F28"/>
    <mergeCell ref="A1:H1"/>
    <mergeCell ref="A2:H2"/>
    <mergeCell ref="A3:H3"/>
    <mergeCell ref="A5:H5"/>
    <mergeCell ref="A6:H6"/>
    <mergeCell ref="A8:H8"/>
    <mergeCell ref="C7:F7"/>
    <mergeCell ref="C9:F9"/>
    <mergeCell ref="C25:F25"/>
    <mergeCell ref="C12:F12"/>
    <mergeCell ref="C15:F15"/>
    <mergeCell ref="C14:F14"/>
    <mergeCell ref="C10:F10"/>
    <mergeCell ref="C11:F11"/>
    <mergeCell ref="C16:F16"/>
    <mergeCell ref="C13:F13"/>
  </mergeCells>
  <pageMargins left="0.7" right="0.7" top="0.75" bottom="0.75" header="0.3" footer="0.3"/>
  <pageSetup paperSize="9" scale="90" fitToHeight="0" orientation="landscape" r:id="rId1"/>
  <rowBreaks count="5" manualBreakCount="5">
    <brk id="11" max="7" man="1"/>
    <brk id="16" max="7" man="1"/>
    <brk id="20" max="7" man="1"/>
    <brk id="25" max="7" man="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Паспорт программы Прил 1</vt:lpstr>
      <vt:lpstr>Прил 2 Планируемые результаты</vt:lpstr>
      <vt:lpstr>Прил 3 Паспорт подпр СоЗд усл 1</vt:lpstr>
      <vt:lpstr>Прил 4 пасп подпр СШ 2</vt:lpstr>
      <vt:lpstr>Прил 5 пасп подпр Обесп 3</vt:lpstr>
      <vt:lpstr>Прил 6 Обоснов фин ресурсов</vt:lpstr>
      <vt:lpstr>Прил 7 Перечень мероприятий</vt:lpstr>
      <vt:lpstr>Прил 8 методика расчета</vt:lpstr>
      <vt:lpstr>'Паспорт программы Прил 1'!Область_печати</vt:lpstr>
      <vt:lpstr>'Прил 2 Планируемые результаты'!Область_печати</vt:lpstr>
      <vt:lpstr>'Прил 6 Обоснов фин ресурсов'!Область_печати</vt:lpstr>
      <vt:lpstr>'Прил 7 Перечень мероприятий'!Область_печати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2019-05-13T12:34:31Z</dcterms:modified>
</cp:coreProperties>
</file>