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60" windowWidth="13755" windowHeight="10695" tabRatio="945"/>
  </bookViews>
  <sheets>
    <sheet name="Паспорт программы Прил 1" sheetId="10" r:id="rId1"/>
    <sheet name="Прил 2 Паспорт подпр СоЗд усл 1" sheetId="3" r:id="rId2"/>
    <sheet name="Прил 3 пасп подпр СШ 2" sheetId="17" r:id="rId3"/>
    <sheet name="Прил 4 пасп подпр Обесп 3" sheetId="8" r:id="rId4"/>
    <sheet name="Прил 5 Планируемые результаты" sheetId="1" r:id="rId5"/>
    <sheet name="Прил 6 методика расчета" sheetId="16" r:id="rId6"/>
    <sheet name="Прил 7 Перечень мероприятий" sheetId="13" r:id="rId7"/>
    <sheet name="Прил 8 Обоснов фин ресурсов" sheetId="12" r:id="rId8"/>
    <sheet name="Прил 9 Адрес. пер. кап.рем" sheetId="19" r:id="rId9"/>
    <sheet name="Прил 10 Адрес.пер. стр.рек." sheetId="18" r:id="rId10"/>
    <sheet name="Прил 11 Адрес.пер. стр.рек." sheetId="21" r:id="rId11"/>
    <sheet name="Прил 12 Адрес.пер. стр.рек." sheetId="23" r:id="rId12"/>
  </sheets>
  <definedNames>
    <definedName name="_xlnm.Print_Area" localSheetId="0">'Паспорт программы Прил 1'!$A$1:$G$45</definedName>
    <definedName name="_xlnm.Print_Area" localSheetId="4">'Прил 5 Планируемые результаты'!$A$1:$K$37</definedName>
    <definedName name="_xlnm.Print_Area" localSheetId="5">'Прил 6 методика расчета'!$A$1:$H$33</definedName>
    <definedName name="_xlnm.Print_Area" localSheetId="6">'Прил 7 Перечень мероприятий'!$A$1:$M$148</definedName>
    <definedName name="_xlnm.Print_Area" localSheetId="7">'Прил 8 Обоснов фин ресурсов'!$A$1:$G$345</definedName>
  </definedNames>
  <calcPr calcId="144525"/>
</workbook>
</file>

<file path=xl/calcChain.xml><?xml version="1.0" encoding="utf-8"?>
<calcChain xmlns="http://schemas.openxmlformats.org/spreadsheetml/2006/main">
  <c r="H137" i="13" l="1"/>
  <c r="H135" i="13"/>
  <c r="H133" i="13"/>
  <c r="H129" i="13"/>
  <c r="H125" i="13"/>
  <c r="H114" i="13"/>
  <c r="H100" i="13"/>
  <c r="H96" i="13"/>
  <c r="H94" i="13"/>
  <c r="H88" i="13"/>
  <c r="H53" i="13"/>
  <c r="H37" i="13"/>
  <c r="H19" i="13"/>
  <c r="H43" i="13"/>
  <c r="H39" i="13"/>
  <c r="H15" i="13"/>
  <c r="H27" i="13"/>
  <c r="H25" i="13"/>
  <c r="H127" i="13" l="1"/>
  <c r="H106" i="13" l="1"/>
  <c r="H112" i="13"/>
  <c r="H92" i="13"/>
  <c r="H102" i="13"/>
  <c r="H86" i="13"/>
  <c r="H82" i="13"/>
  <c r="H41" i="13"/>
  <c r="H23" i="13"/>
  <c r="H21" i="13"/>
  <c r="F146" i="12" l="1"/>
  <c r="F140" i="12" l="1"/>
  <c r="J18" i="18"/>
  <c r="H98" i="13" l="1"/>
  <c r="H62" i="13"/>
  <c r="F101" i="12" l="1"/>
  <c r="F100" i="12"/>
  <c r="F99" i="12"/>
  <c r="F98" i="12"/>
  <c r="F96" i="12" s="1"/>
  <c r="F97" i="12"/>
  <c r="F278" i="12"/>
  <c r="F275" i="12"/>
  <c r="F274" i="12"/>
  <c r="F273" i="12"/>
  <c r="F272" i="12"/>
  <c r="F271" i="12"/>
  <c r="F270" i="12" s="1"/>
  <c r="I86" i="13"/>
  <c r="H116" i="13"/>
  <c r="F114" i="13"/>
  <c r="E114" i="13"/>
  <c r="E113" i="13" s="1"/>
  <c r="K113" i="13"/>
  <c r="J113" i="13"/>
  <c r="H113" i="13"/>
  <c r="G113" i="13"/>
  <c r="I113" i="13" l="1"/>
  <c r="F113" i="13" s="1"/>
  <c r="H45" i="13"/>
  <c r="F43" i="13"/>
  <c r="E43" i="13"/>
  <c r="E42" i="13" s="1"/>
  <c r="K42" i="13"/>
  <c r="J42" i="13"/>
  <c r="I42" i="13"/>
  <c r="H42" i="13"/>
  <c r="G42" i="13"/>
  <c r="F42" i="13" s="1"/>
  <c r="H31" i="13"/>
  <c r="C17" i="23" l="1"/>
  <c r="K17" i="23"/>
  <c r="K16" i="23" s="1"/>
  <c r="K19" i="23" s="1"/>
  <c r="H19" i="23" s="1"/>
  <c r="J19" i="23"/>
  <c r="J16" i="23"/>
  <c r="I16" i="23"/>
  <c r="I19" i="23" s="1"/>
  <c r="D21" i="19"/>
  <c r="G19" i="19"/>
  <c r="H19" i="19"/>
  <c r="I19" i="19"/>
  <c r="J19" i="19"/>
  <c r="D20" i="19"/>
  <c r="I20" i="19"/>
  <c r="J17" i="19"/>
  <c r="I17" i="19"/>
  <c r="I21" i="19" s="1"/>
  <c r="F159" i="12"/>
  <c r="F156" i="12" s="1"/>
  <c r="H17" i="23" l="1"/>
  <c r="H16" i="23"/>
  <c r="F67" i="13"/>
  <c r="G67" i="13"/>
  <c r="H67" i="13"/>
  <c r="I67" i="13"/>
  <c r="J67" i="13"/>
  <c r="K67" i="13"/>
  <c r="G66" i="13"/>
  <c r="H66" i="13"/>
  <c r="I66" i="13"/>
  <c r="J66" i="13"/>
  <c r="K66" i="13"/>
  <c r="E66" i="13"/>
  <c r="F65" i="13"/>
  <c r="J65" i="13"/>
  <c r="H68" i="13"/>
  <c r="H65" i="13" s="1"/>
  <c r="I68" i="13"/>
  <c r="I65" i="13" s="1"/>
  <c r="I73" i="13" s="1"/>
  <c r="J68" i="13"/>
  <c r="K68" i="13"/>
  <c r="K65" i="13" s="1"/>
  <c r="G68" i="13"/>
  <c r="G65" i="13" s="1"/>
  <c r="F69" i="13"/>
  <c r="F66" i="13" s="1"/>
  <c r="E69" i="13"/>
  <c r="F68" i="13"/>
  <c r="E70" i="13" l="1"/>
  <c r="G49" i="13"/>
  <c r="I49" i="13"/>
  <c r="H48" i="13"/>
  <c r="E48" i="13" s="1"/>
  <c r="E68" i="13" l="1"/>
  <c r="E65" i="13" s="1"/>
  <c r="E67" i="13"/>
  <c r="D18" i="19"/>
  <c r="H64" i="13" l="1"/>
  <c r="R125" i="13"/>
  <c r="Q51" i="13"/>
  <c r="J17" i="21" l="1"/>
  <c r="J16" i="21" s="1"/>
  <c r="J18" i="21" s="1"/>
  <c r="H49" i="13"/>
  <c r="I16" i="21"/>
  <c r="I18" i="21" s="1"/>
  <c r="K16" i="21"/>
  <c r="H16" i="21"/>
  <c r="H18" i="21" s="1"/>
  <c r="K18" i="21"/>
  <c r="F138" i="12"/>
  <c r="H47" i="13"/>
  <c r="H74" i="13"/>
  <c r="E74" i="13" s="1"/>
  <c r="E142" i="13"/>
  <c r="E116" i="13"/>
  <c r="E39" i="13"/>
  <c r="E137" i="13"/>
  <c r="E135" i="13"/>
  <c r="E133" i="13"/>
  <c r="E129" i="13"/>
  <c r="E127" i="13"/>
  <c r="E125" i="13"/>
  <c r="E120" i="13"/>
  <c r="E112" i="13"/>
  <c r="E110" i="13"/>
  <c r="E108" i="13"/>
  <c r="E104" i="13"/>
  <c r="E94" i="13"/>
  <c r="E93" i="13" s="1"/>
  <c r="E92" i="13"/>
  <c r="E91" i="13" s="1"/>
  <c r="E90" i="13"/>
  <c r="E89" i="13" s="1"/>
  <c r="E88" i="13"/>
  <c r="E87" i="13" s="1"/>
  <c r="E86" i="13"/>
  <c r="E85" i="13" s="1"/>
  <c r="E84" i="13"/>
  <c r="E83" i="13" s="1"/>
  <c r="E82" i="13"/>
  <c r="E81" i="13" s="1"/>
  <c r="E64" i="13"/>
  <c r="E62" i="13"/>
  <c r="E61" i="13"/>
  <c r="E58" i="13"/>
  <c r="E56" i="13"/>
  <c r="E55" i="13"/>
  <c r="E53" i="13"/>
  <c r="E51" i="13"/>
  <c r="E45" i="13"/>
  <c r="E41" i="13"/>
  <c r="E35" i="13"/>
  <c r="E33" i="13"/>
  <c r="E31" i="13"/>
  <c r="E29" i="13"/>
  <c r="E27" i="13"/>
  <c r="E25" i="13"/>
  <c r="E23" i="13"/>
  <c r="E21" i="13"/>
  <c r="E19" i="13"/>
  <c r="E17" i="13"/>
  <c r="I47" i="13"/>
  <c r="J47" i="13"/>
  <c r="J73" i="13" s="1"/>
  <c r="H12" i="3" s="1"/>
  <c r="K47" i="13"/>
  <c r="K73" i="13" s="1"/>
  <c r="F62" i="13"/>
  <c r="F61" i="13"/>
  <c r="K60" i="13"/>
  <c r="J60" i="13"/>
  <c r="I60" i="13"/>
  <c r="H60" i="13"/>
  <c r="G60" i="13"/>
  <c r="E139" i="13"/>
  <c r="F13" i="3" l="1"/>
  <c r="J13" i="3" s="1"/>
  <c r="I12" i="3"/>
  <c r="K147" i="13"/>
  <c r="J147" i="13"/>
  <c r="E60" i="13"/>
  <c r="F60" i="13"/>
  <c r="E15" i="13" l="1"/>
  <c r="H131" i="13" l="1"/>
  <c r="E131" i="13" s="1"/>
  <c r="E102" i="13"/>
  <c r="E98" i="13"/>
  <c r="E97" i="13" s="1"/>
  <c r="H80" i="13"/>
  <c r="E80" i="13" s="1"/>
  <c r="F265" i="12" l="1"/>
  <c r="K49" i="13" l="1"/>
  <c r="J49" i="13"/>
  <c r="F135" i="12"/>
  <c r="F111" i="12" s="1"/>
  <c r="G12" i="3" l="1"/>
  <c r="I147" i="13"/>
  <c r="E33" i="10" s="1"/>
  <c r="I19" i="18"/>
  <c r="K19" i="18"/>
  <c r="H19" i="18"/>
  <c r="I16" i="18"/>
  <c r="J16" i="18"/>
  <c r="J19" i="18" s="1"/>
  <c r="K16" i="18"/>
  <c r="H16" i="18"/>
  <c r="J21" i="19"/>
  <c r="F269" i="12" l="1"/>
  <c r="F268" i="12"/>
  <c r="F267" i="12"/>
  <c r="F266" i="12"/>
  <c r="H12" i="16"/>
  <c r="H11" i="16"/>
  <c r="H10" i="16"/>
  <c r="H24" i="16"/>
  <c r="H33" i="16"/>
  <c r="F112" i="13"/>
  <c r="E111" i="13"/>
  <c r="K111" i="13"/>
  <c r="J111" i="13"/>
  <c r="I111" i="13"/>
  <c r="H111" i="13"/>
  <c r="G111" i="13"/>
  <c r="E37" i="13"/>
  <c r="F264" i="12" l="1"/>
  <c r="F111" i="13"/>
  <c r="F107" i="12"/>
  <c r="F106" i="12"/>
  <c r="F105" i="12"/>
  <c r="F104" i="12"/>
  <c r="F103" i="12"/>
  <c r="F257" i="12"/>
  <c r="F256" i="12"/>
  <c r="F255" i="12"/>
  <c r="F253" i="12"/>
  <c r="F137" i="12"/>
  <c r="F136" i="12"/>
  <c r="F133" i="12"/>
  <c r="F95" i="12"/>
  <c r="F94" i="12"/>
  <c r="F93" i="12"/>
  <c r="F92" i="12"/>
  <c r="F89" i="12"/>
  <c r="F88" i="12"/>
  <c r="F87" i="12"/>
  <c r="F86" i="12"/>
  <c r="E100" i="13" l="1"/>
  <c r="E96" i="13"/>
  <c r="E95" i="13" s="1"/>
  <c r="E106" i="13"/>
  <c r="F260" i="12" l="1"/>
  <c r="F263" i="12"/>
  <c r="F262" i="12"/>
  <c r="F261" i="12"/>
  <c r="G110" i="13"/>
  <c r="F110" i="13" s="1"/>
  <c r="K109" i="13"/>
  <c r="J109" i="13"/>
  <c r="I109" i="13"/>
  <c r="H109" i="13"/>
  <c r="F259" i="12" l="1"/>
  <c r="F258" i="12" s="1"/>
  <c r="G109" i="13"/>
  <c r="F109" i="13" s="1"/>
  <c r="E109" i="13"/>
  <c r="E59" i="13" l="1"/>
  <c r="F134" i="12"/>
  <c r="F59" i="13"/>
  <c r="F58" i="13"/>
  <c r="K57" i="13"/>
  <c r="J57" i="13"/>
  <c r="I57" i="13"/>
  <c r="G57" i="13"/>
  <c r="G56" i="13"/>
  <c r="G55" i="13"/>
  <c r="K54" i="13"/>
  <c r="J54" i="13"/>
  <c r="I54" i="13"/>
  <c r="H54" i="13"/>
  <c r="I48" i="13" l="1"/>
  <c r="J48" i="13"/>
  <c r="G73" i="13"/>
  <c r="E47" i="13"/>
  <c r="F56" i="13"/>
  <c r="F55" i="13"/>
  <c r="G54" i="13"/>
  <c r="G48" i="13" s="1"/>
  <c r="H57" i="13"/>
  <c r="E57" i="13"/>
  <c r="E54" i="13"/>
  <c r="F57" i="13"/>
  <c r="F132" i="12"/>
  <c r="G147" i="13" l="1"/>
  <c r="C33" i="10" s="1"/>
  <c r="E12" i="3"/>
  <c r="F54" i="13"/>
  <c r="G96" i="13"/>
  <c r="G29" i="13"/>
  <c r="F45" i="13" l="1"/>
  <c r="E44" i="13"/>
  <c r="K44" i="13"/>
  <c r="J44" i="13"/>
  <c r="I44" i="13"/>
  <c r="H44" i="13"/>
  <c r="G44" i="13"/>
  <c r="F44" i="13" l="1"/>
  <c r="G142" i="13" l="1"/>
  <c r="G137" i="13"/>
  <c r="G135" i="13"/>
  <c r="G133" i="13"/>
  <c r="G129" i="13"/>
  <c r="G106" i="13"/>
  <c r="G104" i="13"/>
  <c r="G102" i="13"/>
  <c r="G100" i="13"/>
  <c r="G98" i="13"/>
  <c r="G92" i="13"/>
  <c r="G88" i="13"/>
  <c r="F151" i="12" s="1"/>
  <c r="G86" i="13"/>
  <c r="G53" i="13"/>
  <c r="G47" i="13" s="1"/>
  <c r="G41" i="13"/>
  <c r="F91" i="12" s="1"/>
  <c r="F90" i="12" s="1"/>
  <c r="G39" i="13"/>
  <c r="F85" i="12" s="1"/>
  <c r="G27" i="13"/>
  <c r="G37" i="13"/>
  <c r="G33" i="13"/>
  <c r="G17" i="13"/>
  <c r="G15" i="13"/>
  <c r="F13" i="12" s="1"/>
  <c r="F333" i="12" l="1"/>
  <c r="F332" i="12"/>
  <c r="F331" i="12"/>
  <c r="F329" i="12"/>
  <c r="F330" i="12"/>
  <c r="F254" i="12"/>
  <c r="F215" i="12"/>
  <c r="F214" i="12"/>
  <c r="F213" i="12"/>
  <c r="F212" i="12"/>
  <c r="F83" i="12"/>
  <c r="F82" i="12"/>
  <c r="F81" i="12"/>
  <c r="F80" i="12"/>
  <c r="F79" i="12"/>
  <c r="F235" i="12"/>
  <c r="F236" i="12"/>
  <c r="F237" i="12"/>
  <c r="F238" i="12"/>
  <c r="F239" i="12"/>
  <c r="F345" i="12" l="1"/>
  <c r="F344" i="12"/>
  <c r="F343" i="12"/>
  <c r="F342" i="12"/>
  <c r="F328" i="12"/>
  <c r="F334" i="12"/>
  <c r="F142" i="13"/>
  <c r="F141" i="13" s="1"/>
  <c r="E141" i="13"/>
  <c r="K141" i="13"/>
  <c r="J141" i="13"/>
  <c r="I141" i="13"/>
  <c r="H141" i="13"/>
  <c r="G141" i="13"/>
  <c r="F341" i="12" l="1"/>
  <c r="F37" i="13" l="1"/>
  <c r="F36" i="13" s="1"/>
  <c r="E36" i="13"/>
  <c r="K36" i="13"/>
  <c r="J36" i="13"/>
  <c r="I36" i="13"/>
  <c r="H36" i="13"/>
  <c r="G36" i="13"/>
  <c r="F39" i="13"/>
  <c r="F38" i="13" s="1"/>
  <c r="E38" i="13"/>
  <c r="K38" i="13"/>
  <c r="J38" i="13"/>
  <c r="I38" i="13"/>
  <c r="H38" i="13"/>
  <c r="G38" i="13"/>
  <c r="G13" i="13"/>
  <c r="E11" i="3" l="1"/>
  <c r="G12" i="13"/>
  <c r="F78" i="12"/>
  <c r="F84" i="12"/>
  <c r="F108" i="13" l="1"/>
  <c r="E107" i="13"/>
  <c r="K107" i="13"/>
  <c r="J107" i="13"/>
  <c r="I107" i="13"/>
  <c r="H107" i="13"/>
  <c r="G107" i="13"/>
  <c r="F107" i="13" l="1"/>
  <c r="F252" i="12"/>
  <c r="F327" i="12" l="1"/>
  <c r="F326" i="12"/>
  <c r="F325" i="12"/>
  <c r="F324" i="12"/>
  <c r="F323" i="12"/>
  <c r="F321" i="12"/>
  <c r="F320" i="12"/>
  <c r="F319" i="12"/>
  <c r="F318" i="12"/>
  <c r="F317" i="12"/>
  <c r="F315" i="12"/>
  <c r="F314" i="12"/>
  <c r="F313" i="12"/>
  <c r="F312" i="12"/>
  <c r="F311" i="12"/>
  <c r="F309" i="12"/>
  <c r="F308" i="12"/>
  <c r="F307" i="12"/>
  <c r="F306" i="12"/>
  <c r="F305" i="12"/>
  <c r="F303" i="12"/>
  <c r="F302" i="12"/>
  <c r="F301" i="12"/>
  <c r="F300" i="12"/>
  <c r="F299" i="12"/>
  <c r="F297" i="12"/>
  <c r="F296" i="12"/>
  <c r="F295" i="12"/>
  <c r="F294" i="12"/>
  <c r="F291" i="12"/>
  <c r="F290" i="12"/>
  <c r="F289" i="12"/>
  <c r="F288" i="12"/>
  <c r="F287" i="12"/>
  <c r="F90" i="13"/>
  <c r="F233" i="12"/>
  <c r="F232" i="12"/>
  <c r="F231" i="12"/>
  <c r="F230" i="12"/>
  <c r="F229" i="12"/>
  <c r="F227" i="12"/>
  <c r="F226" i="12"/>
  <c r="F225" i="12"/>
  <c r="F224" i="12"/>
  <c r="F223" i="12"/>
  <c r="F221" i="12"/>
  <c r="F220" i="12"/>
  <c r="F219" i="12"/>
  <c r="F218" i="12"/>
  <c r="F217" i="12"/>
  <c r="F211" i="12"/>
  <c r="F209" i="12"/>
  <c r="F208" i="12"/>
  <c r="F207" i="12"/>
  <c r="F206" i="12"/>
  <c r="F205" i="12"/>
  <c r="F203" i="12"/>
  <c r="F202" i="12"/>
  <c r="F201" i="12"/>
  <c r="F200" i="12"/>
  <c r="F199" i="12"/>
  <c r="F197" i="12"/>
  <c r="F196" i="12"/>
  <c r="F195" i="12"/>
  <c r="F194" i="12"/>
  <c r="F193" i="12"/>
  <c r="F191" i="12"/>
  <c r="F190" i="12"/>
  <c r="F189" i="12"/>
  <c r="F188" i="12"/>
  <c r="F187" i="12"/>
  <c r="F185" i="12"/>
  <c r="F184" i="12"/>
  <c r="F183" i="12"/>
  <c r="F153" i="12" s="1"/>
  <c r="F182" i="12"/>
  <c r="F181" i="12"/>
  <c r="F179" i="12"/>
  <c r="F178" i="12"/>
  <c r="F177" i="12"/>
  <c r="F176" i="12"/>
  <c r="F175" i="12"/>
  <c r="F173" i="12"/>
  <c r="F172" i="12"/>
  <c r="F171" i="12"/>
  <c r="F170" i="12"/>
  <c r="F77" i="12" l="1"/>
  <c r="F76" i="12"/>
  <c r="F75" i="12"/>
  <c r="F74" i="12"/>
  <c r="F71" i="12"/>
  <c r="F70" i="12"/>
  <c r="F69" i="12"/>
  <c r="F68" i="12"/>
  <c r="F65" i="12"/>
  <c r="F64" i="12"/>
  <c r="F63" i="12"/>
  <c r="F59" i="12"/>
  <c r="F58" i="12"/>
  <c r="F57" i="12"/>
  <c r="F55" i="12"/>
  <c r="F53" i="12"/>
  <c r="F52" i="12"/>
  <c r="F51" i="12"/>
  <c r="F49" i="12"/>
  <c r="F47" i="12" l="1"/>
  <c r="F46" i="12"/>
  <c r="F45" i="12"/>
  <c r="F43" i="12"/>
  <c r="F41" i="12"/>
  <c r="F40" i="12"/>
  <c r="F39" i="12"/>
  <c r="F37" i="12"/>
  <c r="F35" i="12"/>
  <c r="F34" i="12"/>
  <c r="F33" i="12"/>
  <c r="F31" i="12"/>
  <c r="F29" i="12"/>
  <c r="F28" i="12"/>
  <c r="F27" i="12"/>
  <c r="F25" i="12"/>
  <c r="F23" i="12"/>
  <c r="F22" i="12"/>
  <c r="F21" i="12"/>
  <c r="F281" i="12" l="1"/>
  <c r="F280" i="12"/>
  <c r="F279" i="12"/>
  <c r="F277" i="12"/>
  <c r="F251" i="12"/>
  <c r="F250" i="12"/>
  <c r="F249" i="12"/>
  <c r="F248" i="12"/>
  <c r="F247" i="12"/>
  <c r="K115" i="13"/>
  <c r="J115" i="13"/>
  <c r="I115" i="13"/>
  <c r="H115" i="13"/>
  <c r="G115" i="13"/>
  <c r="F116" i="13"/>
  <c r="E115" i="13"/>
  <c r="K105" i="13"/>
  <c r="J105" i="13"/>
  <c r="I105" i="13"/>
  <c r="H105" i="13"/>
  <c r="G105" i="13"/>
  <c r="F106" i="13"/>
  <c r="E105" i="13"/>
  <c r="F245" i="12"/>
  <c r="F244" i="12"/>
  <c r="F243" i="12"/>
  <c r="F242" i="12"/>
  <c r="F241" i="12"/>
  <c r="K103" i="13"/>
  <c r="J103" i="13"/>
  <c r="I103" i="13"/>
  <c r="H103" i="13"/>
  <c r="G103" i="13"/>
  <c r="F104" i="13"/>
  <c r="E103" i="13"/>
  <c r="F102" i="13"/>
  <c r="E101" i="13"/>
  <c r="K101" i="13"/>
  <c r="J101" i="13"/>
  <c r="I101" i="13"/>
  <c r="H101" i="13"/>
  <c r="G101" i="13"/>
  <c r="G79" i="13"/>
  <c r="F125" i="12"/>
  <c r="F124" i="12"/>
  <c r="F123" i="12"/>
  <c r="F122" i="12"/>
  <c r="F119" i="12"/>
  <c r="F118" i="12"/>
  <c r="F117" i="12"/>
  <c r="F116" i="12"/>
  <c r="F121" i="12"/>
  <c r="F115" i="12"/>
  <c r="F115" i="13" l="1"/>
  <c r="F103" i="13"/>
  <c r="F105" i="13"/>
  <c r="F101" i="13"/>
  <c r="F246" i="12"/>
  <c r="F276" i="12"/>
  <c r="F240" i="12"/>
  <c r="F234" i="12"/>
  <c r="F144" i="12"/>
  <c r="F120" i="12"/>
  <c r="F114" i="12"/>
  <c r="G26" i="13"/>
  <c r="F41" i="13"/>
  <c r="F40" i="13" s="1"/>
  <c r="E40" i="13"/>
  <c r="K40" i="13"/>
  <c r="J40" i="13"/>
  <c r="I40" i="13"/>
  <c r="H40" i="13"/>
  <c r="G40" i="13"/>
  <c r="F102" i="12" l="1"/>
  <c r="G63" i="13"/>
  <c r="H63" i="13"/>
  <c r="I63" i="13"/>
  <c r="J63" i="13"/>
  <c r="K63" i="13"/>
  <c r="K48" i="13" s="1"/>
  <c r="F48" i="13" s="1"/>
  <c r="F64" i="13"/>
  <c r="E63" i="13" l="1"/>
  <c r="F63" i="13"/>
  <c r="F53" i="13"/>
  <c r="K52" i="13"/>
  <c r="J52" i="13"/>
  <c r="I52" i="13"/>
  <c r="H52" i="13"/>
  <c r="G52" i="13"/>
  <c r="H18" i="19" s="1"/>
  <c r="G18" i="19" l="1"/>
  <c r="H17" i="19"/>
  <c r="G17" i="19" s="1"/>
  <c r="E52" i="13"/>
  <c r="F52" i="13"/>
  <c r="H21" i="19" l="1"/>
  <c r="G21" i="19" s="1"/>
  <c r="F293" i="12"/>
  <c r="F340" i="12" l="1"/>
  <c r="F286" i="12"/>
  <c r="F304" i="12"/>
  <c r="F298" i="12"/>
  <c r="F292" i="12"/>
  <c r="F310" i="12"/>
  <c r="F322" i="12"/>
  <c r="F316" i="12"/>
  <c r="I282" i="12" l="1"/>
  <c r="F82" i="13"/>
  <c r="K81" i="13"/>
  <c r="J81" i="13"/>
  <c r="I81" i="13"/>
  <c r="H81" i="13"/>
  <c r="G81" i="13"/>
  <c r="F84" i="13"/>
  <c r="K83" i="13"/>
  <c r="J83" i="13"/>
  <c r="I83" i="13"/>
  <c r="H83" i="13"/>
  <c r="G83" i="13"/>
  <c r="F86" i="13"/>
  <c r="K85" i="13"/>
  <c r="J85" i="13"/>
  <c r="I85" i="13"/>
  <c r="H85" i="13"/>
  <c r="G85" i="13"/>
  <c r="F81" i="13" l="1"/>
  <c r="F85" i="13"/>
  <c r="F83" i="13"/>
  <c r="F19" i="13"/>
  <c r="F18" i="13" s="1"/>
  <c r="E18" i="13"/>
  <c r="K18" i="13"/>
  <c r="J18" i="13"/>
  <c r="I18" i="13"/>
  <c r="H18" i="13"/>
  <c r="F26" i="12" s="1"/>
  <c r="G18" i="13"/>
  <c r="F21" i="13"/>
  <c r="F20" i="13" s="1"/>
  <c r="E20" i="13"/>
  <c r="K20" i="13"/>
  <c r="J20" i="13"/>
  <c r="I20" i="13"/>
  <c r="H20" i="13"/>
  <c r="F32" i="12" s="1"/>
  <c r="G20" i="13"/>
  <c r="F23" i="13"/>
  <c r="F22" i="13" s="1"/>
  <c r="E22" i="13"/>
  <c r="K22" i="13"/>
  <c r="J22" i="13"/>
  <c r="I22" i="13"/>
  <c r="H22" i="13"/>
  <c r="F38" i="12" s="1"/>
  <c r="G22" i="13"/>
  <c r="N27" i="12" l="1"/>
  <c r="F180" i="12"/>
  <c r="F186" i="12"/>
  <c r="F137" i="13" l="1"/>
  <c r="F136" i="13" s="1"/>
  <c r="E136" i="13"/>
  <c r="K136" i="13"/>
  <c r="J136" i="13"/>
  <c r="I136" i="13"/>
  <c r="H136" i="13"/>
  <c r="G136" i="13"/>
  <c r="J132" i="13" l="1"/>
  <c r="H132" i="13"/>
  <c r="F133" i="13"/>
  <c r="F132" i="13" s="1"/>
  <c r="E132" i="13"/>
  <c r="K132" i="13"/>
  <c r="I132" i="13"/>
  <c r="G132" i="13"/>
  <c r="K134" i="13"/>
  <c r="J134" i="13"/>
  <c r="H134" i="13"/>
  <c r="G134" i="13"/>
  <c r="E134" i="13"/>
  <c r="I134" i="13"/>
  <c r="K124" i="13"/>
  <c r="J124" i="13"/>
  <c r="F125" i="13"/>
  <c r="F124" i="13" s="1"/>
  <c r="H124" i="13"/>
  <c r="G124" i="13"/>
  <c r="E124" i="13"/>
  <c r="J126" i="13"/>
  <c r="I126" i="13"/>
  <c r="E126" i="13"/>
  <c r="K126" i="13"/>
  <c r="G126" i="13"/>
  <c r="K128" i="13"/>
  <c r="J128" i="13"/>
  <c r="H128" i="13"/>
  <c r="G128" i="13"/>
  <c r="F129" i="13"/>
  <c r="F128" i="13" s="1"/>
  <c r="E128" i="13"/>
  <c r="I128" i="13"/>
  <c r="F127" i="13" l="1"/>
  <c r="F126" i="13" s="1"/>
  <c r="F135" i="13"/>
  <c r="F134" i="13" s="1"/>
  <c r="I124" i="13"/>
  <c r="H126" i="13"/>
  <c r="J14" i="17" l="1"/>
  <c r="J13" i="17"/>
  <c r="F169" i="12" l="1"/>
  <c r="F73" i="12"/>
  <c r="F67" i="12"/>
  <c r="F61" i="12"/>
  <c r="N28" i="12"/>
  <c r="F19" i="12" l="1"/>
  <c r="F17" i="12"/>
  <c r="F16" i="12"/>
  <c r="F15" i="12"/>
  <c r="F168" i="12" l="1"/>
  <c r="F174" i="12"/>
  <c r="F80" i="13"/>
  <c r="G97" i="13"/>
  <c r="F98" i="13"/>
  <c r="G99" i="13"/>
  <c r="E99" i="13"/>
  <c r="F100" i="13"/>
  <c r="F96" i="13"/>
  <c r="F94" i="13"/>
  <c r="F92" i="13"/>
  <c r="F88" i="13"/>
  <c r="F30" i="12" l="1"/>
  <c r="F66" i="12"/>
  <c r="F72" i="12"/>
  <c r="F36" i="12"/>
  <c r="F24" i="12"/>
  <c r="J97" i="13"/>
  <c r="K97" i="13"/>
  <c r="I97" i="13"/>
  <c r="H97" i="13"/>
  <c r="F27" i="13"/>
  <c r="F26" i="13" s="1"/>
  <c r="E26" i="13"/>
  <c r="K26" i="13"/>
  <c r="J26" i="13"/>
  <c r="I26" i="13"/>
  <c r="H26" i="13"/>
  <c r="F50" i="12" s="1"/>
  <c r="F97" i="13" l="1"/>
  <c r="F222" i="12"/>
  <c r="F228" i="12"/>
  <c r="J99" i="13"/>
  <c r="K99" i="13"/>
  <c r="I99" i="13"/>
  <c r="H99" i="13"/>
  <c r="F99" i="13" l="1"/>
  <c r="F48" i="12"/>
  <c r="J148" i="13"/>
  <c r="F33" i="10" s="1"/>
  <c r="K148" i="13"/>
  <c r="G33" i="10" s="1"/>
  <c r="F110" i="12"/>
  <c r="F12" i="3" l="1"/>
  <c r="J12" i="3" s="1"/>
  <c r="E73" i="13"/>
  <c r="H147" i="13"/>
  <c r="D33" i="10" s="1"/>
  <c r="F73" i="13"/>
  <c r="E49" i="13"/>
  <c r="I148" i="13"/>
  <c r="K46" i="13"/>
  <c r="H46" i="13"/>
  <c r="J46" i="13"/>
  <c r="G148" i="13"/>
  <c r="I46" i="13"/>
  <c r="G46" i="13"/>
  <c r="F109" i="12" s="1"/>
  <c r="F49" i="13"/>
  <c r="F33" i="13"/>
  <c r="F32" i="13" s="1"/>
  <c r="E32" i="13"/>
  <c r="K32" i="13"/>
  <c r="J32" i="13"/>
  <c r="I32" i="13"/>
  <c r="H32" i="13"/>
  <c r="G32" i="13"/>
  <c r="E147" i="13" l="1"/>
  <c r="F147" i="13"/>
  <c r="H148" i="13"/>
  <c r="E46" i="13"/>
  <c r="H30" i="16"/>
  <c r="H18" i="16"/>
  <c r="H19" i="16"/>
  <c r="H14" i="16"/>
  <c r="H20" i="16"/>
  <c r="H21" i="16"/>
  <c r="H9" i="16"/>
  <c r="E148" i="13" l="1"/>
  <c r="D34" i="10"/>
  <c r="B33" i="10"/>
  <c r="F139" i="13"/>
  <c r="F138" i="13" s="1"/>
  <c r="E138" i="13"/>
  <c r="K138" i="13"/>
  <c r="J138" i="13"/>
  <c r="I138" i="13"/>
  <c r="H138" i="13"/>
  <c r="G138" i="13"/>
  <c r="F131" i="13"/>
  <c r="F130" i="13" s="1"/>
  <c r="E130" i="13"/>
  <c r="K130" i="13"/>
  <c r="J130" i="13"/>
  <c r="I130" i="13"/>
  <c r="H130" i="13"/>
  <c r="G130" i="13"/>
  <c r="F120" i="13"/>
  <c r="K95" i="13"/>
  <c r="J95" i="13"/>
  <c r="I95" i="13"/>
  <c r="H95" i="13"/>
  <c r="G95" i="13"/>
  <c r="K93" i="13"/>
  <c r="J93" i="13"/>
  <c r="I93" i="13"/>
  <c r="H93" i="13"/>
  <c r="G93" i="13"/>
  <c r="K91" i="13"/>
  <c r="J91" i="13"/>
  <c r="I91" i="13"/>
  <c r="H91" i="13"/>
  <c r="G91" i="13"/>
  <c r="K89" i="13"/>
  <c r="F155" i="12" s="1"/>
  <c r="J89" i="13"/>
  <c r="F154" i="12" s="1"/>
  <c r="I89" i="13"/>
  <c r="H89" i="13"/>
  <c r="F152" i="12" s="1"/>
  <c r="G89" i="13"/>
  <c r="K87" i="13"/>
  <c r="J87" i="13"/>
  <c r="I87" i="13"/>
  <c r="H87" i="13"/>
  <c r="G87" i="13"/>
  <c r="E79" i="13"/>
  <c r="K79" i="13"/>
  <c r="J79" i="13"/>
  <c r="I79" i="13"/>
  <c r="H79" i="13"/>
  <c r="F79" i="13"/>
  <c r="F51" i="13"/>
  <c r="F50" i="13" s="1"/>
  <c r="E50" i="13"/>
  <c r="K50" i="13"/>
  <c r="F131" i="12" s="1"/>
  <c r="J50" i="13"/>
  <c r="F130" i="12" s="1"/>
  <c r="I50" i="13"/>
  <c r="F129" i="12" s="1"/>
  <c r="H50" i="13"/>
  <c r="F128" i="12" s="1"/>
  <c r="G50" i="13"/>
  <c r="F127" i="12" s="1"/>
  <c r="F35" i="13"/>
  <c r="F34" i="13" s="1"/>
  <c r="E34" i="13"/>
  <c r="K34" i="13"/>
  <c r="J34" i="13"/>
  <c r="I34" i="13"/>
  <c r="H34" i="13"/>
  <c r="G34" i="13"/>
  <c r="F31" i="13"/>
  <c r="F30" i="13" s="1"/>
  <c r="E30" i="13"/>
  <c r="K30" i="13"/>
  <c r="J30" i="13"/>
  <c r="I30" i="13"/>
  <c r="H30" i="13"/>
  <c r="F62" i="12" s="1"/>
  <c r="F60" i="12" s="1"/>
  <c r="G30" i="13"/>
  <c r="F29" i="13"/>
  <c r="F28" i="13" s="1"/>
  <c r="E28" i="13"/>
  <c r="K28" i="13"/>
  <c r="J28" i="13"/>
  <c r="I28" i="13"/>
  <c r="H28" i="13"/>
  <c r="F56" i="12" s="1"/>
  <c r="G28" i="13"/>
  <c r="F25" i="13"/>
  <c r="F24" i="13" s="1"/>
  <c r="E24" i="13"/>
  <c r="K24" i="13"/>
  <c r="J24" i="13"/>
  <c r="I24" i="13"/>
  <c r="H24" i="13"/>
  <c r="G24" i="13"/>
  <c r="F17" i="13"/>
  <c r="K16" i="13"/>
  <c r="J16" i="13"/>
  <c r="I16" i="13"/>
  <c r="H16" i="13"/>
  <c r="F20" i="12" s="1"/>
  <c r="F18" i="12" s="1"/>
  <c r="G16" i="13"/>
  <c r="F15" i="13"/>
  <c r="F14" i="13" s="1"/>
  <c r="E14" i="13"/>
  <c r="K14" i="13"/>
  <c r="J14" i="13"/>
  <c r="I14" i="13"/>
  <c r="H14" i="13"/>
  <c r="F14" i="12" s="1"/>
  <c r="G14" i="13"/>
  <c r="H77" i="13" l="1"/>
  <c r="Q79" i="13" s="1"/>
  <c r="F44" i="12"/>
  <c r="H13" i="13"/>
  <c r="F11" i="3" s="1"/>
  <c r="F150" i="12"/>
  <c r="F12" i="12"/>
  <c r="G77" i="13"/>
  <c r="I13" i="13"/>
  <c r="I12" i="13" s="1"/>
  <c r="J13" i="13"/>
  <c r="J12" i="13" s="1"/>
  <c r="K13" i="13"/>
  <c r="K12" i="13" s="1"/>
  <c r="F126" i="12"/>
  <c r="G123" i="13"/>
  <c r="F93" i="13"/>
  <c r="J77" i="13"/>
  <c r="K77" i="13"/>
  <c r="I77" i="13"/>
  <c r="H123" i="13"/>
  <c r="F89" i="13"/>
  <c r="F91" i="13"/>
  <c r="I123" i="13"/>
  <c r="J123" i="13"/>
  <c r="J122" i="13" s="1"/>
  <c r="J144" i="13" s="1"/>
  <c r="K123" i="13"/>
  <c r="K122" i="13" s="1"/>
  <c r="K144" i="13" s="1"/>
  <c r="K143" i="13" s="1"/>
  <c r="F16" i="13"/>
  <c r="E16" i="13"/>
  <c r="F87" i="13"/>
  <c r="F148" i="13"/>
  <c r="F95" i="13"/>
  <c r="E13" i="13" l="1"/>
  <c r="E12" i="13" s="1"/>
  <c r="J118" i="13"/>
  <c r="J117" i="13" s="1"/>
  <c r="G118" i="13"/>
  <c r="K118" i="13"/>
  <c r="I12" i="17" s="1"/>
  <c r="I11" i="17" s="1"/>
  <c r="I76" i="13"/>
  <c r="H122" i="13"/>
  <c r="E122" i="13" s="1"/>
  <c r="E123" i="13"/>
  <c r="H118" i="13"/>
  <c r="E118" i="13" s="1"/>
  <c r="E117" i="13" s="1"/>
  <c r="E77" i="13"/>
  <c r="E76" i="13" s="1"/>
  <c r="H144" i="13"/>
  <c r="H143" i="13" s="1"/>
  <c r="E143" i="13" s="1"/>
  <c r="H11" i="3"/>
  <c r="H10" i="3" s="1"/>
  <c r="H12" i="13"/>
  <c r="K71" i="13"/>
  <c r="I11" i="3"/>
  <c r="I10" i="3" s="1"/>
  <c r="G11" i="3"/>
  <c r="I71" i="13"/>
  <c r="J71" i="13"/>
  <c r="H71" i="13"/>
  <c r="G71" i="13"/>
  <c r="I118" i="13"/>
  <c r="H76" i="13"/>
  <c r="F216" i="12"/>
  <c r="F198" i="12"/>
  <c r="K76" i="13"/>
  <c r="F204" i="12"/>
  <c r="J76" i="13"/>
  <c r="F210" i="12"/>
  <c r="G76" i="13"/>
  <c r="F54" i="12"/>
  <c r="F13" i="13"/>
  <c r="F12" i="13" s="1"/>
  <c r="E12" i="17"/>
  <c r="H12" i="17"/>
  <c r="G122" i="13"/>
  <c r="J143" i="13"/>
  <c r="F113" i="12"/>
  <c r="F47" i="13"/>
  <c r="F46" i="13" s="1"/>
  <c r="F112" i="12"/>
  <c r="I122" i="13"/>
  <c r="I144" i="13" s="1"/>
  <c r="I143" i="13" s="1"/>
  <c r="F123" i="13"/>
  <c r="I13" i="8"/>
  <c r="I12" i="8" s="1"/>
  <c r="H13" i="8"/>
  <c r="H12" i="8" s="1"/>
  <c r="F77" i="13"/>
  <c r="G117" i="13"/>
  <c r="I117" i="13" l="1"/>
  <c r="I146" i="13"/>
  <c r="K117" i="13"/>
  <c r="E71" i="13"/>
  <c r="H117" i="13"/>
  <c r="F12" i="17"/>
  <c r="F11" i="17" s="1"/>
  <c r="R123" i="13"/>
  <c r="F13" i="8"/>
  <c r="F12" i="8" s="1"/>
  <c r="E144" i="13"/>
  <c r="Q72" i="13"/>
  <c r="K146" i="13"/>
  <c r="K145" i="13" s="1"/>
  <c r="H11" i="17"/>
  <c r="G10" i="3"/>
  <c r="F10" i="3"/>
  <c r="J146" i="13"/>
  <c r="J145" i="13" s="1"/>
  <c r="H146" i="13"/>
  <c r="G144" i="13"/>
  <c r="F118" i="13"/>
  <c r="G12" i="17"/>
  <c r="G11" i="17" s="1"/>
  <c r="F192" i="12"/>
  <c r="I162" i="12" s="1"/>
  <c r="F42" i="12"/>
  <c r="I10" i="12" s="1"/>
  <c r="F76" i="13"/>
  <c r="F71" i="13"/>
  <c r="E11" i="17"/>
  <c r="G13" i="8"/>
  <c r="G12" i="8" s="1"/>
  <c r="F122" i="13"/>
  <c r="F108" i="12"/>
  <c r="I11" i="12" s="1"/>
  <c r="F117" i="13" l="1"/>
  <c r="E32" i="10"/>
  <c r="E35" i="10" s="1"/>
  <c r="I145" i="13"/>
  <c r="E146" i="13"/>
  <c r="H145" i="13"/>
  <c r="E145" i="13" s="1"/>
  <c r="I12" i="12"/>
  <c r="G32" i="10"/>
  <c r="G35" i="10" s="1"/>
  <c r="E13" i="8"/>
  <c r="J13" i="8" s="1"/>
  <c r="J12" i="8" s="1"/>
  <c r="J12" i="17"/>
  <c r="J11" i="17" s="1"/>
  <c r="E10" i="3"/>
  <c r="J10" i="3" s="1"/>
  <c r="J11" i="3"/>
  <c r="G143" i="13"/>
  <c r="F144" i="13"/>
  <c r="G146" i="13"/>
  <c r="F32" i="10"/>
  <c r="F35" i="10" s="1"/>
  <c r="D32" i="10"/>
  <c r="D35" i="10" l="1"/>
  <c r="P34" i="10"/>
  <c r="C32" i="10"/>
  <c r="B32" i="10" s="1"/>
  <c r="G145" i="13"/>
  <c r="F145" i="13" s="1"/>
  <c r="E12" i="8"/>
  <c r="F146" i="13"/>
  <c r="F143" i="13"/>
  <c r="C35" i="10" l="1"/>
  <c r="B35" i="10" s="1"/>
</calcChain>
</file>

<file path=xl/sharedStrings.xml><?xml version="1.0" encoding="utf-8"?>
<sst xmlns="http://schemas.openxmlformats.org/spreadsheetml/2006/main" count="1398" uniqueCount="462">
  <si>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</si>
  <si>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</si>
  <si>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</si>
  <si>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</si>
  <si>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</si>
  <si>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</si>
  <si>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</si>
  <si>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</si>
  <si>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</si>
  <si>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</si>
  <si>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</si>
  <si>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</si>
  <si>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</si>
  <si>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</si>
  <si>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</si>
  <si>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</si>
  <si>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</si>
  <si>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</si>
  <si>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</si>
  <si>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</si>
  <si>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</si>
  <si>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</si>
  <si>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</si>
  <si>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</si>
  <si>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</si>
  <si>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</si>
  <si>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</si>
  <si>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</si>
  <si>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</si>
  <si>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</si>
  <si>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</si>
  <si>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</si>
  <si>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</si>
  <si>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</si>
  <si>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</si>
  <si>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</si>
  <si>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</si>
  <si>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</si>
  <si>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</si>
  <si>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</si>
  <si>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</si>
  <si>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</si>
  <si>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</si>
  <si>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</si>
  <si>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</si>
  <si>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</si>
  <si>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</si>
  <si>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</si>
  <si>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</si>
  <si>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</si>
  <si>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</si>
  <si>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</si>
  <si>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</si>
  <si>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</si>
  <si>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</si>
  <si>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</si>
  <si>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</si>
  <si>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</si>
  <si>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</si>
  <si>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</si>
  <si>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</si>
  <si>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</si>
  <si>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</si>
  <si>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</si>
  <si>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</si>
  <si>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</si>
  <si>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</si>
  <si>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</si>
  <si>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</si>
  <si>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</si>
  <si>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</si>
  <si>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</si>
  <si>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</si>
  <si>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</si>
  <si>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</si>
  <si>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</si>
  <si>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</si>
  <si>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</si>
  <si>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</si>
  <si>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</si>
  <si>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</si>
  <si>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</si>
  <si>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</si>
  <si>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</si>
  <si>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</si>
  <si>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</si>
  <si>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</si>
  <si>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</si>
  <si>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</si>
  <si>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</si>
  <si>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</si>
  <si>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t>2020 год</t>
  </si>
  <si>
    <t>2021 год</t>
  </si>
  <si>
    <t>2022 год</t>
  </si>
  <si>
    <t xml:space="preserve">2020 год       </t>
  </si>
  <si>
    <t xml:space="preserve">2021 год       </t>
  </si>
  <si>
    <t xml:space="preserve">2022 год       </t>
  </si>
  <si>
    <t xml:space="preserve">2020 год </t>
  </si>
  <si>
    <t xml:space="preserve">2021 год </t>
  </si>
  <si>
    <t xml:space="preserve">2022 год </t>
  </si>
  <si>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</si>
  <si>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</si>
  <si>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</si>
  <si>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</si>
  <si>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</si>
  <si>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</si>
  <si>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</si>
  <si>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</si>
  <si>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</si>
  <si>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</si>
  <si>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</si>
  <si>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</si>
  <si>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</si>
  <si>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</si>
  <si>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</si>
  <si>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</si>
  <si>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</si>
  <si>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</si>
  <si>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</si>
  <si>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</si>
  <si>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</si>
  <si>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</si>
  <si>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</si>
  <si>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</si>
  <si>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</si>
  <si>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</si>
  <si>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</si>
  <si>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</si>
  <si>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</si>
  <si>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</si>
  <si>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</si>
  <si>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</si>
  <si>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</si>
  <si>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</si>
  <si>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</si>
  <si>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Количество плоскостных спортивных сооружений, на которых проведен капитальный ремонт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</si>
  <si>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</si>
  <si>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</si>
  <si>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</si>
  <si>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</si>
  <si>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</si>
  <si>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</si>
  <si>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</si>
  <si>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</si>
  <si>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</si>
  <si>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</si>
  <si>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</si>
  <si>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</si>
  <si>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</si>
  <si>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</si>
  <si>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</si>
  <si>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</si>
  <si>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</si>
  <si>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</si>
  <si>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</si>
  <si>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</si>
  <si>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</si>
  <si>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</si>
  <si>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</si>
  <si>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</si>
  <si>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</si>
  <si>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</si>
  <si>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</si>
  <si>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</si>
  <si>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</si>
  <si>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</si>
  <si>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</si>
  <si>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</si>
  <si>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</si>
  <si>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</si>
  <si>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</si>
  <si>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</si>
  <si>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Текущее содержание имущества</t>
  </si>
  <si>
    <t>Приобретение материальных запасов</t>
  </si>
  <si>
    <t xml:space="preserve">Расходы по использованию ИКТ
</t>
  </si>
  <si>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</si>
  <si>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</si>
  <si>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</si>
  <si>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</si>
  <si>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</si>
  <si>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</si>
  <si>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</si>
  <si>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</si>
  <si>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</si>
  <si>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</si>
  <si>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</si>
  <si>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</si>
  <si>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</si>
  <si>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</si>
  <si>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</si>
  <si>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</si>
  <si>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</si>
  <si>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</si>
  <si>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</si>
  <si>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</si>
  <si>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</si>
  <si>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</si>
  <si>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</si>
  <si>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</si>
  <si>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</si>
  <si>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</si>
  <si>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</si>
  <si>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</si>
  <si>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</si>
  <si>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</si>
  <si>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</si>
  <si>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</si>
  <si>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</si>
  <si>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</si>
  <si>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</si>
  <si>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</si>
  <si>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</si>
  <si>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</si>
  <si>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</si>
  <si>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</si>
  <si>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</si>
  <si>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</si>
  <si>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</si>
  <si>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</si>
  <si>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</si>
  <si>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</si>
  <si>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</si>
  <si>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</si>
  <si>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</si>
  <si>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</si>
  <si>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</si>
  <si>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</si>
  <si>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</si>
  <si>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</si>
  <si>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</si>
  <si>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</si>
  <si>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</si>
  <si>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</si>
  <si>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</si>
  <si>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</si>
  <si>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</si>
  <si>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</si>
  <si>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</si>
  <si>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</si>
  <si>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</si>
  <si>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</si>
  <si>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</si>
  <si>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</si>
  <si>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</si>
  <si>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</si>
  <si>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</si>
  <si>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</si>
  <si>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</si>
  <si>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</si>
  <si>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</si>
  <si>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</si>
  <si>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</si>
  <si>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</si>
  <si>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</si>
  <si>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</si>
  <si>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</si>
  <si>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</si>
  <si>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</si>
  <si>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</si>
  <si>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</si>
  <si>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</si>
  <si>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</si>
  <si>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</si>
  <si>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</si>
  <si>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</si>
  <si>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</si>
  <si>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</si>
  <si>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</si>
  <si>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</si>
  <si>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</si>
  <si>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</si>
  <si>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</si>
  <si>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</si>
  <si>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</si>
  <si>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</si>
  <si>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</si>
  <si>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</si>
  <si>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</si>
  <si>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</si>
  <si>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</si>
  <si>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</si>
  <si>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</si>
  <si>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</si>
  <si>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</si>
  <si>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</si>
  <si>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</si>
  <si>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</si>
  <si>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</si>
  <si>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</si>
  <si>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</si>
  <si>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1.18.</t>
  </si>
  <si>
    <t>1.19.</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</si>
  <si>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</si>
  <si>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(Приоритетный)</t>
  </si>
  <si>
    <t xml:space="preserve">Доля детей и молодежи, систематически занимающихся физической культурой 
и спортом, в общей численности детей и молодежи 
</t>
  </si>
  <si>
    <t>-</t>
  </si>
  <si>
    <t>1 группа</t>
  </si>
  <si>
    <t>Количество установленных скейт-парков в муниципальном образовании Московской области</t>
  </si>
  <si>
    <t>Количество установленных плоскостных спортивных сооружений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</si>
  <si>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</si>
  <si>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</si>
  <si>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Макропоказатель – Эффективность использования существующих объектов спорта (отношение фактической посещаемости к нормативной пропускной способности)</t>
  </si>
  <si>
    <t>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</si>
  <si>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</si>
  <si>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граждан старшего возраста, систематически занимающихся физической культурой и спортом в общей численности граждан старшего возраста</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</si>
  <si>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</si>
  <si>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</si>
  <si>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</si>
  <si>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</si>
  <si>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</si>
  <si>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Уз = Фз / Мс х 100%, где
Уз – уровень загруженности спортивных сооружений;
Фз – фактическая годовая загруженность спортивных сооружений, человек;              
Мс – годовая мощность спортивных сооружений, человек.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</si>
  <si>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</si>
  <si>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Значения натуральных показателей в соответствии с объектами, включенными в государственную программу Московской области «Спорт Подмосковья» </t>
  </si>
  <si>
    <t>Значения натуральных показателей в соответствии с объектами, включенными в государственную программу Московской области «Спорт Подмосковья»</t>
  </si>
  <si>
    <t xml:space="preserve">Единица </t>
  </si>
  <si>
    <t xml:space="preserve">Доля детей и молодежи, систематически занимающихся физической культурой 
и спортом, в общей численности детей и молодежи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</si>
  <si>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</si>
  <si>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</si>
  <si>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</si>
  <si>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</si>
  <si>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</si>
  <si>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</si>
  <si>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ЭФФЕКТИВНОСТИ РЕАЛИЗАЦИИ МУНИЦИПАЛЬНОЙ 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</si>
  <si>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</si>
  <si>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споривного инвентаря, спортивные снаряды, экипировки, спортивная форма, спортивное оборудование.
</t>
  </si>
  <si>
    <r>
      <rPr>
        <b/>
        <sz val="10"/>
        <color theme="1"/>
        <rFont val="Arial"/>
        <family val="2"/>
        <charset val="204"/>
      </rPr>
      <t>Мероприятие 1.15.</t>
    </r>
    <r>
      <rPr>
        <sz val="10"/>
        <color theme="1"/>
        <rFont val="Arial"/>
        <family val="2"/>
        <charset val="204"/>
      </rPr>
      <t xml:space="preserve">
Обеспечение спортивным инвентарем, оборудованием и экипировкой</t>
    </r>
  </si>
  <si>
    <t xml:space="preserve">Объем          
финансирования 
мероприятия в  
текущем        
финансовом году
(тыс. руб.)
</t>
  </si>
  <si>
    <t>Муниципальное бюджетное  учреждение "Волковское"  Рузского городского округа МО</t>
  </si>
  <si>
    <t>Доля жителей Московской области, занимающихся в спортивных организациях, в общей численности детей и молодежи в возрасте 6-15 лет</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</si>
  <si>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</si>
  <si>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Км = Км1 + Км2 + ... + Кмn, где: 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t>
  </si>
  <si>
    <t>Кгто = Кгто1 + Кгто2 + ... + Кгтоn, где Кгто - количество приобретенных и установленных площадок для сдачи нормативов комплекса "Готов к труду и обороне" (ГТО) в муниципальных образованиях Московской области; Кгто1 - приобретенная и установленная площадка для сдачи нормативов комплекса "Готов к труду и обороне" (ГТО) в 1-м муниципальном образовании Московской области; Кгто2 - приобретенная и установленная площадка для сдачи нормативов комплекса "Готов к труду и обороне" (ГТО) во 2-м муниципальном образовании Московской области; Кгтоn - приобретенная и установленная площадка для сдачи нормативов комплекса "Готов к труду и обороне" (ГТО) в n-м муниципальном образовании Московской области</t>
  </si>
  <si>
    <t xml:space="preserve">Дзэвсм = Кз / Окз x 100%, где:
Дзэвсм - доля по программам СП;
Кз - количество занимающихся  в организациях Московской области, осуществляющих спортивную подготовку;
Окз - общее количество занимающихся, СП, в организациях Московской области, осуществляющих спортивную подготовку
</t>
  </si>
  <si>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</si>
  <si>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</si>
  <si>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t xml:space="preserve">Затраты на уплату налогов: на нагативное воздействие на окружающую среды, имущество, транспорт, землю. </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</si>
  <si>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</si>
  <si>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</si>
  <si>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2.4.</t>
  </si>
  <si>
    <t>2.5.</t>
  </si>
  <si>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утвержденного Постановлением Главы Рузского Городского Округа от 08.11.2017.№ 2504.
</t>
    </r>
  </si>
  <si>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t>
  </si>
  <si>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безопасности.)Приобретение стенда по охране труда.</t>
  </si>
  <si>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и поверка счетчиков (приборов)  учета, обслуживание,  ремонт газонокосилок, триммеров, садовых тракторов, снегоходов и прочей техники. Услуги по монтажу системы автоматической пожарной сигнализации. Установка колодцев на хоккейных коробках.</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</si>
  <si>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</si>
  <si>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r>
      <t xml:space="preserve">Мероприятие 1.15. </t>
    </r>
    <r>
      <rPr>
        <sz val="10"/>
        <color theme="1"/>
        <rFont val="Arial"/>
        <family val="2"/>
        <charset val="204"/>
      </rPr>
      <t>Обеспечение спортивным инвентарем, оборудованием и экипировкой</t>
    </r>
  </si>
  <si>
    <t xml:space="preserve">Поставка экипировки и оборудования, приобретение спортивного инвентаря  для занимающихся в секциях по видам спорта.
</t>
  </si>
  <si>
    <t>от "___"________________2019г. № _________</t>
  </si>
  <si>
    <t>Заместитель главы администрации Рузского городского округа  А.А. Журавлев</t>
  </si>
  <si>
    <t>Обьем финансирования по годам (тыс.руб.)</t>
  </si>
  <si>
    <t xml:space="preserve">«Справочно: Единовременная пропускная способность Еф (мощность) спортивных сооружений на конец отчётного года» </t>
  </si>
  <si>
    <t>Человек</t>
  </si>
  <si>
    <t>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                                                                                                             Чзи - численность лиц с ограниченными возможностями здоровья и инвалидов, систематически занимающихся физической культурой и спортом, проживающих в Рузском городском округе, согласно данным федерального статистического наблюдения по форме № 3-АФК, утвержденой приказом федеральной службы государственной статистики от 08.10.2018 № 603;                                             Чни - численность жителей Рузского городского округа с ограниченными возможностями здоровья и инвалидов;
Чнп - численность жителей Рузского городского округа с ограниченными возможностями здоровья и инвалидов, имеющих противопоказания для занятий физической культурой и спортом</t>
  </si>
  <si>
    <t>N п/п</t>
  </si>
  <si>
    <t>Предельная стоимость объекта, тыс. руб.</t>
  </si>
  <si>
    <t>Источники финансирования</t>
  </si>
  <si>
    <t>Остаток сметной стоимости до ввода в эксплуатацию, тыс. руб.</t>
  </si>
  <si>
    <t>Приложение № 9</t>
  </si>
  <si>
    <t>Финансирование, тыс. рублей</t>
  </si>
  <si>
    <r>
      <rPr>
        <b/>
        <sz val="10"/>
        <rFont val="Arial"/>
        <family val="2"/>
        <charset val="204"/>
      </rPr>
      <t>Мероприятие 1.17.</t>
    </r>
    <r>
      <rPr>
        <sz val="10"/>
        <rFont val="Arial"/>
        <family val="2"/>
        <charset val="204"/>
      </rPr>
      <t xml:space="preserve">
Проведение  мероприятий  </t>
    </r>
  </si>
  <si>
    <r>
      <t xml:space="preserve">Мероприятие 1.17.
</t>
    </r>
    <r>
      <rPr>
        <sz val="10"/>
        <rFont val="Arial"/>
        <family val="2"/>
        <charset val="204"/>
      </rPr>
      <t xml:space="preserve">Проведение  мероприятий  </t>
    </r>
  </si>
  <si>
    <r>
      <rPr>
        <b/>
        <sz val="10"/>
        <color theme="1"/>
        <rFont val="Arial"/>
        <family val="2"/>
        <charset val="204"/>
      </rPr>
      <t xml:space="preserve">Мероприятие 1.1. </t>
    </r>
    <r>
      <rPr>
        <sz val="10"/>
        <color theme="1"/>
        <rFont val="Arial"/>
        <family val="2"/>
        <charset val="204"/>
      </rPr>
      <t xml:space="preserve">Проведение  мероприятий  
</t>
    </r>
  </si>
  <si>
    <t>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участие в спортивных мероприятиях.</t>
  </si>
  <si>
    <r>
      <t xml:space="preserve">Мероприятие 1.18.
</t>
    </r>
    <r>
      <rPr>
        <sz val="10"/>
        <rFont val="Arial"/>
        <family val="2"/>
        <charset val="204"/>
      </rPr>
      <t>Организация и обеспечение подготовки спортивного резерва</t>
    </r>
  </si>
  <si>
    <r>
      <rPr>
        <b/>
        <sz val="10"/>
        <rFont val="Arial"/>
        <family val="2"/>
        <charset val="204"/>
      </rPr>
      <t>Мероприятие 1.18.</t>
    </r>
    <r>
      <rPr>
        <sz val="10"/>
        <rFont val="Arial"/>
        <family val="2"/>
        <charset val="204"/>
      </rPr>
      <t xml:space="preserve">
Организация и обеспечение подготовки спортивного резерва</t>
    </r>
  </si>
  <si>
    <t>Приложение № 10</t>
  </si>
  <si>
    <t>к муниципальной программе  «Развитие физической культуры и спорта, формирование здорового образа жизни населения в Рузском городском округе»  на 2018-2022 годы</t>
  </si>
  <si>
    <t>Подпрограммы 1 «Создание условий для развития физической культуры и спорта»</t>
  </si>
  <si>
    <t>Муниципальной программы  «Развитие физической культуры и спорта, формирование здорового образа жизни населения в Рузском городском округе»  на 2018-2022 годы</t>
  </si>
  <si>
    <t>Наименование обьекта (адрес обьекта)</t>
  </si>
  <si>
    <t>Виды работ (капитальный ремонт, вид/тип обьекта)</t>
  </si>
  <si>
    <t>Обьем выполняемых работ</t>
  </si>
  <si>
    <t>Период проведения работ</t>
  </si>
  <si>
    <t>Финансирование из бюджета Рузского городского округа</t>
  </si>
  <si>
    <t>Обьект 1</t>
  </si>
  <si>
    <t>Средства Рузского городского округа</t>
  </si>
  <si>
    <t>Футбольное поля по адресу: п. Тучково ул. Новая дом 17.</t>
  </si>
  <si>
    <t>Всего по мероприятию:</t>
  </si>
  <si>
    <t>Наименование инвестирования, наименование обьекта, адрес обьекта, сведения о государственной регистрации права собственности</t>
  </si>
  <si>
    <t>Годы строительства/реконструкции обьектов муниципальной собственности</t>
  </si>
  <si>
    <t>Мощность (кв. метров, погонных метров, мест, койко-мест и т.д.)</t>
  </si>
  <si>
    <t>Профинансировано на 01.01.2019, тыс.руб.</t>
  </si>
  <si>
    <t>Наименование главного распорядителя средств бюджета Рузского городского округа</t>
  </si>
  <si>
    <t>Администрация Рузского городского округа</t>
  </si>
  <si>
    <t>Приложение № 11</t>
  </si>
  <si>
    <t>Московская область, РГО, с. Покровское ул. Урожайная дом 1А</t>
  </si>
  <si>
    <r>
      <rPr>
        <b/>
        <sz val="10"/>
        <rFont val="Arial"/>
        <family val="2"/>
        <charset val="204"/>
      </rPr>
      <t>Мероприятие 2.2.</t>
    </r>
    <r>
      <rPr>
        <sz val="10"/>
        <rFont val="Arial"/>
        <family val="2"/>
        <charset val="204"/>
      </rPr>
      <t xml:space="preserve">  Проведение ремонтных работ зданий и сооружений</t>
    </r>
  </si>
  <si>
    <r>
      <t xml:space="preserve">Мероприятие 2.2. </t>
    </r>
    <r>
      <rPr>
        <sz val="10"/>
        <rFont val="Arial"/>
        <family val="2"/>
        <charset val="204"/>
      </rPr>
      <t>Проведение ремонтных работ зданий и сооружений</t>
    </r>
  </si>
  <si>
    <r>
      <rPr>
        <b/>
        <sz val="10"/>
        <rFont val="Arial"/>
        <family val="2"/>
        <charset val="204"/>
      </rPr>
      <t>Мероприятие 2.4.</t>
    </r>
    <r>
      <rPr>
        <sz val="10"/>
        <rFont val="Arial"/>
        <family val="2"/>
        <charset val="204"/>
      </rPr>
      <t xml:space="preserve">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</si>
  <si>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r>
      <rPr>
        <b/>
        <sz val="10"/>
        <color theme="1"/>
        <rFont val="Arial"/>
        <family val="2"/>
        <charset val="204"/>
      </rPr>
      <t>Мероприятие 2.4</t>
    </r>
    <r>
      <rPr>
        <sz val="10"/>
        <color theme="1"/>
        <rFont val="Arial"/>
        <family val="2"/>
        <charset val="204"/>
      </rPr>
      <t>.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</si>
  <si>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t xml:space="preserve">Адресный перечень объектов  </t>
  </si>
  <si>
    <t>финансирование которого предусмотрено  Мероприятием 2.2.  Проведение ремонтных работ зданий и сооружений</t>
  </si>
  <si>
    <t xml:space="preserve">Адресный перечень объектов строительства  муниципальной собственности Рузского городского округа, </t>
  </si>
  <si>
    <t xml:space="preserve">Затраты на приобретение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приобретение  моноблоков.
</t>
  </si>
  <si>
    <t>Выполнение ремонтных работ, установка и приобретение ограждения, оплата сметы, мособлэкспертиза, технадзор.</t>
  </si>
  <si>
    <t>Корректировка проектно-сметной документации по строению объекта, проведение обследования здания физкультурно-оздоровительного комплекса.</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</si>
  <si>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t>
  </si>
  <si>
    <t xml:space="preserve">Затраты на :   информационно-телекоммуникационной сети "Интернет", подключение к сети интернет,  приобретение картриджей; Приобретение компьютеров и принтеров МФУ; Гарант, програмное обеспечение, офис, крипто-про, касперский, ремонт и настройка компьютеров, обслуживание сайта.
</t>
  </si>
  <si>
    <t xml:space="preserve">Затраты на приобретение основных средств для строительства,  (в том числе с спортивного снаряжения),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сварочный аппарат, болгарка, клепальщик, дрель (ударная), перфоратор, паяльник для полипропилена, набор инструментов, генератор, компрессор, шуруповерт, ламинатор, телефонные аппараты, газонокосилки, техника для обслуживания спортивных сооружений, спортивные комплексы, оборудование, тренажеры, спортивные снаряды, приобретение телефоных аппаратов, радиотелефонов, Сварочный комплект(сварочный  аппарат, маска, электроды)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</si>
  <si>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мебели(столы, шкафы, кресло, диван) ; Зск - затраты на приобретение электрического оборудования,   жалюзи, тент матерчатый телефонный аппарат, туристические принадлежности( палатка, казан)
</t>
  </si>
  <si>
    <t xml:space="preserve">финансирование которых предусмотрено  Мероприятием 2.5.  Строительство физкультурно-оздоровительного комплекса с. Покровское </t>
  </si>
  <si>
    <r>
      <rPr>
        <b/>
        <sz val="10"/>
        <rFont val="Arial"/>
        <family val="2"/>
        <charset val="204"/>
      </rPr>
      <t>Мероприятие 2.5.</t>
    </r>
    <r>
      <rPr>
        <sz val="10"/>
        <rFont val="Arial"/>
        <family val="2"/>
        <charset val="204"/>
      </rPr>
      <t xml:space="preserve">  Строительство физкультурно-оздоровительного комплекса с. Покровское </t>
    </r>
  </si>
  <si>
    <r>
      <t xml:space="preserve">Мероприятие 2.5.  </t>
    </r>
    <r>
      <rPr>
        <sz val="10"/>
        <color theme="1"/>
        <rFont val="Arial"/>
        <family val="2"/>
        <charset val="204"/>
      </rPr>
      <t xml:space="preserve">Строительство физкультурно-оздоровительного комплекса с. Покровское </t>
    </r>
  </si>
  <si>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 разделители дорожек бассейна, семена спортивного газона. приобретение электротоваров (светильники потолочные светодиодные, прожектора светодиодные уличные, светодиодные лампы, светильники промышленные), топливных гранул (пеллет), семян спортивной газонной травы, удобрений для футбольных полей, эмали, метела, оборудование для сварки(сварочный  аппарат, маска, электроды), трубы профильные, сетка заградительная, пескобетон, цемент, кисточки, валики, трос и прочие строительные материалы. </t>
  </si>
  <si>
    <t xml:space="preserve"> Капитальный ремонт и приобретение оборудования для оснащения плоскостных спортивных сооружений Многофункциональных хоккейных площадок</t>
  </si>
  <si>
    <t>2.6.</t>
  </si>
  <si>
    <r>
      <rPr>
        <b/>
        <sz val="10"/>
        <rFont val="Arial"/>
        <family val="2"/>
        <charset val="204"/>
      </rPr>
      <t>Мероприятие 2.6.</t>
    </r>
    <r>
      <rPr>
        <sz val="10"/>
        <rFont val="Arial"/>
        <family val="2"/>
        <charset val="204"/>
      </rPr>
      <t xml:space="preserve">  Строительство крытой ледовой арены </t>
    </r>
  </si>
  <si>
    <t xml:space="preserve">  Строительство физкультурно-оздоровительного комплекса с. Покровское </t>
  </si>
  <si>
    <t>Строительство крытой ледовой арены на 300-500 зрительных мест</t>
  </si>
  <si>
    <r>
      <t xml:space="preserve">Мероприятие 2.6.  </t>
    </r>
    <r>
      <rPr>
        <sz val="10"/>
        <color theme="1"/>
        <rFont val="Arial"/>
        <family val="2"/>
        <charset val="204"/>
      </rPr>
      <t xml:space="preserve">Строительство крытой ледовой арены </t>
    </r>
  </si>
  <si>
    <t>Строительство крытой ледовой арены на 300-500 зрительных мест с потенциальной возможностью устройства внутри помещений под спортивные залы, за счет привлеченных средств инвесторов.</t>
  </si>
  <si>
    <t xml:space="preserve">Адресный перечень объектов строительства   Рузского городского округа, </t>
  </si>
  <si>
    <t xml:space="preserve"> Московская область, Рузский городской округ, п. Тучково, ул. Лебеденко Кадастровый номер: 50:19:0020101:7231</t>
  </si>
  <si>
    <t>Обьект 2</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</si>
  <si>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6 к Программе).</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</si>
  <si>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№5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</si>
  <si>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8 Муниципальной программы. </t>
    </r>
  </si>
  <si>
    <t>Приложение № 12</t>
  </si>
  <si>
    <t>Доля спортивных площадок, управляемых в соответствии со стандартом их использования, %</t>
  </si>
  <si>
    <t xml:space="preserve">W =Kстнд/Кобщ*100%*k, где:
W - доля спортивных площадок, управляемых в соответствии со стандартом их использования;
Kстнд - количество спортивных площадок, соответствующих стандарту их использования;
Кобщ - общее количество спортивных площадок, расположенных на территории муниципального образования (городского округа, городского поселения, сельского поселения) Московской области;
k - повышающий коэффициент:
к = 1,05, если 0 &lt; Кбр/Кстнд*100 &lt; 50 (%),
к = 1,10,если 50 &lt; Кбр/Кстнд*100 &lt; 70 (%),
к = 1,15,если 70 &lt;Кбр/Кстнд*100 &lt; 100 (%), где 
Кбр - количество спортивных площадок, с наличием системы видеонаблюдения «Безопасный регион»;
Kстнд - количество спортивных площадок, соответствующих стандарту их использования.
</t>
  </si>
  <si>
    <t>Двух этажное здание (684,8 кв.м.),  адрес: Московская область, город Руза, поселок Дорохово, улица Школьная,  дом 1.</t>
  </si>
  <si>
    <t>3.1.</t>
  </si>
  <si>
    <t>Доля средств, полученных от предпринимательской деятельности</t>
  </si>
  <si>
    <t>1.20.</t>
  </si>
  <si>
    <t>Дзд = (Чздс+Чздо) / Чнд х 100, где: Чздс - численность населения в возрасте 3-29 лет, занимающегося физической культурой и спортом в организованной форме занятий, в соответствии с данными федерального статистического наблюдения по форме
№1-ФК «Сведения о физической культуре и спорте»; Чздо - численность населения в возрасте 3-29 лет, самостоятельно занимающегося физической культурой и спортом, в соответствии с данными
выборочного наблюдения состояния здоровья; Чнд - численность населения в возрасте 3-29 лет по административной информации Федеральной службы государственной статистики*</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</si>
  <si>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муниципального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</si>
  <si>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t>Проведения комплексных, спортивно-массовых мероприятий среди разных слоев населения по видам спорта и участия спортсменов округа в соревнованиях различного уровня;  приобретение наградной атрибутики; Цветы; Призы; Экипировка, предоставление услуг по организации спортивных мероприятий.</t>
  </si>
  <si>
    <r>
      <rPr>
        <b/>
        <sz val="10"/>
        <rFont val="Arial"/>
        <family val="2"/>
        <charset val="204"/>
      </rPr>
      <t>Мероприятие 3.1.</t>
    </r>
    <r>
      <rPr>
        <sz val="10"/>
        <rFont val="Arial"/>
        <family val="2"/>
        <charset val="204"/>
      </rPr>
      <t xml:space="preserve">  Подготовка основания, приобретение и установка плоскостных спортивных сооружений в муниципальных организациях Московской области</t>
    </r>
  </si>
  <si>
    <t>3</t>
  </si>
  <si>
    <t>3.1</t>
  </si>
  <si>
    <t>Основное мероприятие 3
Р5 Федеральный проект "Спорт-норма жизни"</t>
  </si>
  <si>
    <t>Мероприятие 3.1.  Подготовка основания, приобретение и установка плоскостных спортивных сооружений в муниципальных организациях Московской области</t>
  </si>
  <si>
    <t>Работы строительные по строительству конструкций и плоскостных сооружений стадионов и прочих площадок для спортивных игр на открытом воздухе, таких как футбол, хоккей, легкая атлетика,  велосипедные гонки, лыжные гонки.</t>
  </si>
  <si>
    <t xml:space="preserve">Функциональная хоккейная коробка, Московская область, город Руза, поселок Тучково Восточный микрорайон </t>
  </si>
  <si>
    <t>ЕПС 30 чел.</t>
  </si>
  <si>
    <t>Управление по физической культуре, спорту, молодежной политике Администрации Рузского городского округа Московской области</t>
  </si>
  <si>
    <t xml:space="preserve">финансирование которых предусмотреноза счет внебюджетных источников  Мероприятием 2.6.  Строительство крытой ледовой арены </t>
  </si>
  <si>
    <t>финансирование которых предусмотрено Мероприятием 3.1.  Подготовка основания, приобретение и установка плоскостных спортивных сооружений в муниципальных организациях Московской области</t>
  </si>
  <si>
    <t xml:space="preserve">Основное мероприятие 
Р5 Федеральный проект "Спорт-норма жизни" </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</si>
  <si>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Координатор Программы - Заместитель главы администрации Рузского городского округа А.А. Журавлев</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Управление по физической культуре, спорту, молодежной политике Администрации Рузского городского округа Московской области.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Управление по физической культуре, спорту, молодежной политике Администрации Рузского городского округа Московской области,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</si>
  <si>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Управление по физической культуре, спорту, молодежной политике АРГО МО, МБУ Физической культуры и спорта РГО МО</t>
  </si>
  <si>
    <t>Управление по физической культуре, спорту, молодежной политике АРГО МО</t>
  </si>
  <si>
    <t>МБУ Физической культуры и спорта РГО МО</t>
  </si>
  <si>
    <t xml:space="preserve">МБУ Физической культуры и спорта РГО МО </t>
  </si>
  <si>
    <t xml:space="preserve"> МБУ РГО "Спортивная школа Руза", Муниципальное бюджетное  учреждение "Волковское"  Рузского городского округа МО</t>
  </si>
  <si>
    <t xml:space="preserve"> МБУ РГО "Спортивная школа Руза", Муниципальное бюджетное  учреждение "Волковское"  Рузского городского округа МО, инвесторы</t>
  </si>
  <si>
    <t>Аренда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занимающихся.</t>
  </si>
  <si>
    <t>Специальная оценка условий труда</t>
  </si>
  <si>
    <r>
      <t>Муниципальный заказчик</t>
    </r>
    <r>
      <rPr>
        <sz val="12"/>
        <color theme="1"/>
        <rFont val="Times New Roman"/>
        <family val="1"/>
        <charset val="204"/>
      </rPr>
      <t>:       Управление по физической культуре, спорту, молодежной политике Администрации Рузского городского округа Московской области</t>
    </r>
  </si>
  <si>
    <r>
      <t xml:space="preserve">Ответственный за выполнение мероприятия:     </t>
    </r>
    <r>
      <rPr>
        <sz val="12"/>
        <color theme="1"/>
        <rFont val="Times New Roman"/>
        <family val="1"/>
        <charset val="204"/>
      </rPr>
      <t>Управление по физической культуре, спорту, молодежной политике Администрации Рузского городского округа Московской области</t>
    </r>
  </si>
  <si>
    <r>
      <rPr>
        <b/>
        <sz val="10"/>
        <color theme="1"/>
        <rFont val="Arial"/>
        <family val="2"/>
        <charset val="204"/>
      </rPr>
      <t>Мероприятие 1.1.</t>
    </r>
    <r>
      <rPr>
        <sz val="10"/>
        <color theme="1"/>
        <rFont val="Arial"/>
        <family val="2"/>
        <charset val="204"/>
      </rPr>
      <t xml:space="preserve">Проведение  мероприятий  
</t>
    </r>
  </si>
  <si>
    <t>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округа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приобретение продуктов питания, организация питания на мероприятиях, транспортные услуги по перевозке занимающихся к местам проведения спортивно-массовым мероприятиям.</t>
  </si>
  <si>
    <r>
      <rPr>
        <b/>
        <sz val="10"/>
        <color theme="1"/>
        <rFont val="Arial"/>
        <family val="2"/>
        <charset val="204"/>
      </rPr>
      <t>Мероприятие 1.16.</t>
    </r>
    <r>
      <rPr>
        <sz val="10"/>
        <color theme="1"/>
        <rFont val="Arial"/>
        <family val="2"/>
        <charset val="204"/>
      </rPr>
      <t xml:space="preserve">
Замена приборов учета</t>
    </r>
  </si>
  <si>
    <t>Замена приборов учета</t>
  </si>
  <si>
    <r>
      <rPr>
        <b/>
        <sz val="10"/>
        <rFont val="Arial"/>
        <family val="2"/>
        <charset val="204"/>
      </rPr>
      <t>Мероприятие 1.19.</t>
    </r>
    <r>
      <rPr>
        <sz val="10"/>
        <rFont val="Arial"/>
        <family val="2"/>
        <charset val="204"/>
      </rPr>
      <t xml:space="preserve">
Замена приборов учета</t>
    </r>
  </si>
  <si>
    <r>
      <t xml:space="preserve">Мероприятие 1.19.
</t>
    </r>
    <r>
      <rPr>
        <sz val="10"/>
        <rFont val="Arial"/>
        <family val="2"/>
        <charset val="204"/>
      </rPr>
      <t>Замена приборов учета</t>
    </r>
  </si>
  <si>
    <r>
      <t xml:space="preserve">Мероприятие 1.16. </t>
    </r>
    <r>
      <rPr>
        <sz val="10"/>
        <color theme="1"/>
        <rFont val="Arial"/>
        <family val="2"/>
        <charset val="204"/>
      </rPr>
      <t>Замена приборов учета</t>
    </r>
  </si>
  <si>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Управление по физической культуре, спорту, молодежной политике Администрации Рузского городского округа Московской области.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население округа.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округе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округе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</si>
  <si>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Управления по физической культуре, спорту, молодежной политике АРГО МО.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</si>
  <si>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окон.Приобретение электротоваров, поставка банкеток,  телефонные аппараты, радиотелефон, поставка контрольно-кассовой техники, поставка горки для детской площадки МЕТЕОР.
</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</si>
  <si>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туристические принадлежности( палатка, казан), приобретение табличек.
</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</si>
  <si>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 споривного инвентаря, спортивные снаряды, экипировки, спортивная форма, ГСМ, скребки для уборки снега, приобретение(изготовление) журналов для тренеров, поставка электрики, поставка строительных материалов, приобретение табличек, печать сертификатов.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</si>
</sst>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
      <sz val="14"/>
      <color theme="1"/>
      <name val="Arial"/>
      <family val="2"/>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rgb="FFFF0000"/>
      <name val="Arial"/>
      <family val="2"/>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550">
    <xf numFmtId="0" fontId="0" fillId="0" borderId="0" xfId="0"/>
    <xf numFmtId="0" fontId="3" fillId="0" borderId="0" xfId="0" applyFont="1"/>
    <xf numFmtId="0" fontId="7" fillId="3" borderId="1" xfId="0" applyFont="1" applyFill="1" applyBorder="1" applyAlignment="1">
      <alignment horizontal="left"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1" fillId="0" borderId="0" xfId="0" applyFont="1" applyBorder="1" applyAlignment="1">
      <alignment vertical="center" wrapText="1"/>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4" fontId="11" fillId="0" borderId="0" xfId="0" applyNumberFormat="1" applyFont="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10" fillId="0" borderId="4"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10" fillId="0" borderId="1" xfId="0" applyFont="1" applyFill="1" applyBorder="1" applyAlignment="1">
      <alignment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vertical="top" wrapText="1"/>
    </xf>
    <xf numFmtId="0" fontId="8" fillId="0" borderId="0" xfId="0" applyFont="1" applyAlignment="1">
      <alignment horizontal="center" vertical="center"/>
    </xf>
    <xf numFmtId="165" fontId="15" fillId="0" borderId="0" xfId="0" applyNumberFormat="1" applyFont="1"/>
    <xf numFmtId="0" fontId="16" fillId="0" borderId="1" xfId="0" applyFont="1" applyBorder="1" applyAlignment="1">
      <alignment vertical="center" wrapText="1"/>
    </xf>
    <xf numFmtId="165" fontId="16" fillId="0" borderId="1" xfId="0" applyNumberFormat="1" applyFont="1" applyBorder="1" applyAlignment="1">
      <alignment vertical="center" wrapText="1"/>
    </xf>
    <xf numFmtId="0" fontId="14" fillId="0" borderId="4" xfId="0" applyFont="1" applyBorder="1" applyAlignment="1">
      <alignment horizontal="left" vertical="top" wrapText="1"/>
    </xf>
    <xf numFmtId="0" fontId="14" fillId="0" borderId="1" xfId="0" applyFont="1" applyFill="1" applyBorder="1" applyAlignment="1">
      <alignment horizontal="left" vertical="top" wrapText="1"/>
    </xf>
    <xf numFmtId="4" fontId="15" fillId="0" borderId="0" xfId="0" applyNumberFormat="1" applyFont="1"/>
    <xf numFmtId="3" fontId="14"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165" fontId="3" fillId="0" borderId="0" xfId="0" applyNumberFormat="1" applyFont="1"/>
    <xf numFmtId="0" fontId="12"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23" fillId="0" borderId="0" xfId="0" applyNumberFormat="1" applyFont="1" applyAlignment="1">
      <alignment horizontal="center" vertical="center"/>
    </xf>
    <xf numFmtId="4" fontId="23" fillId="0" borderId="0" xfId="0" applyNumberFormat="1" applyFont="1" applyFill="1" applyAlignment="1">
      <alignment horizontal="center" vertical="center"/>
    </xf>
    <xf numFmtId="4" fontId="23" fillId="6" borderId="0" xfId="0" applyNumberFormat="1" applyFont="1" applyFill="1" applyAlignment="1">
      <alignment horizontal="center" vertical="center"/>
    </xf>
    <xf numFmtId="4" fontId="10" fillId="0" borderId="0" xfId="0" applyNumberFormat="1" applyFont="1" applyAlignment="1">
      <alignment horizontal="right"/>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pplyProtection="1">
      <alignment horizontal="center" vertical="center" wrapText="1"/>
    </xf>
    <xf numFmtId="4" fontId="12" fillId="0" borderId="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65" fontId="10" fillId="3" borderId="0" xfId="0" applyNumberFormat="1" applyFont="1" applyFill="1" applyAlignment="1">
      <alignment horizontal="right" vertical="center"/>
    </xf>
    <xf numFmtId="165" fontId="11" fillId="3" borderId="0" xfId="0" applyNumberFormat="1" applyFont="1" applyFill="1"/>
    <xf numFmtId="165" fontId="12"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11" fillId="3" borderId="0" xfId="0" applyNumberFormat="1" applyFont="1" applyFill="1" applyAlignment="1">
      <alignment vertical="center" wrapText="1"/>
    </xf>
    <xf numFmtId="2" fontId="14" fillId="0" borderId="4"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vertical="center" wrapText="1"/>
    </xf>
    <xf numFmtId="1" fontId="14" fillId="0" borderId="4" xfId="0" applyNumberFormat="1" applyFont="1" applyFill="1" applyBorder="1" applyAlignment="1">
      <alignment horizontal="center"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horizontal="center" vertical="center"/>
    </xf>
    <xf numFmtId="4" fontId="8" fillId="3" borderId="1" xfId="0" applyNumberFormat="1" applyFont="1" applyFill="1" applyBorder="1" applyAlignment="1">
      <alignment horizontal="center" vertical="center" wrapText="1"/>
    </xf>
    <xf numFmtId="0" fontId="25" fillId="0" borderId="0" xfId="0" applyFont="1"/>
    <xf numFmtId="0" fontId="26"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25" fillId="0" borderId="1" xfId="0" applyNumberFormat="1" applyFont="1" applyBorder="1" applyAlignment="1">
      <alignment horizontal="center" vertical="center" wrapText="1"/>
    </xf>
    <xf numFmtId="0" fontId="25" fillId="0" borderId="1" xfId="0" applyFont="1" applyBorder="1"/>
    <xf numFmtId="4" fontId="25" fillId="0" borderId="1" xfId="0" applyNumberFormat="1" applyFont="1" applyBorder="1" applyAlignment="1">
      <alignment horizontal="center" vertical="center"/>
    </xf>
    <xf numFmtId="0" fontId="24" fillId="0" borderId="0" xfId="0" applyFont="1"/>
    <xf numFmtId="0" fontId="25" fillId="0" borderId="0" xfId="0" applyFont="1" applyAlignment="1">
      <alignment horizontal="right" vertical="center"/>
    </xf>
    <xf numFmtId="2" fontId="16" fillId="0" borderId="4"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4" fontId="11" fillId="3" borderId="0" xfId="0" applyNumberFormat="1" applyFont="1" applyFill="1" applyAlignment="1">
      <alignment horizontal="left"/>
    </xf>
    <xf numFmtId="0" fontId="10" fillId="0" borderId="1" xfId="0" applyFont="1" applyBorder="1" applyAlignment="1">
      <alignment vertical="center" wrapText="1"/>
    </xf>
    <xf numFmtId="0" fontId="12" fillId="0"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6" fillId="0" borderId="0" xfId="0" applyFont="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2"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10" fillId="0" borderId="10" xfId="0" applyFont="1" applyBorder="1" applyAlignment="1">
      <alignment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vertical="center" wrapText="1"/>
    </xf>
    <xf numFmtId="4" fontId="11" fillId="0" borderId="0" xfId="0" applyNumberFormat="1" applyFont="1" applyFill="1"/>
    <xf numFmtId="4" fontId="11" fillId="3" borderId="0" xfId="0" applyNumberFormat="1" applyFont="1" applyFill="1"/>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4" fontId="25" fillId="0" borderId="0" xfId="0" applyNumberFormat="1" applyFont="1"/>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4" fillId="3" borderId="1" xfId="0" applyFont="1" applyFill="1" applyBorder="1" applyAlignment="1">
      <alignment vertical="top" wrapText="1"/>
    </xf>
    <xf numFmtId="165" fontId="14" fillId="3"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6" borderId="0" xfId="0" applyFont="1" applyFill="1" applyAlignment="1">
      <alignment vertical="center" wrapText="1"/>
    </xf>
    <xf numFmtId="0" fontId="11" fillId="6" borderId="0" xfId="0" applyFont="1" applyFill="1"/>
    <xf numFmtId="164" fontId="10"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6" fillId="0" borderId="0" xfId="0" applyFont="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4" fontId="3" fillId="0" borderId="0" xfId="0" applyNumberFormat="1" applyFont="1"/>
    <xf numFmtId="165" fontId="10" fillId="6" borderId="0" xfId="0" applyNumberFormat="1" applyFont="1" applyFill="1" applyAlignment="1">
      <alignment horizontal="right" vertical="center"/>
    </xf>
    <xf numFmtId="165" fontId="11" fillId="6" borderId="0" xfId="0" applyNumberFormat="1" applyFont="1" applyFill="1"/>
    <xf numFmtId="165"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 fontId="3" fillId="6" borderId="1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165" fontId="11" fillId="6" borderId="0" xfId="0" applyNumberFormat="1" applyFont="1" applyFill="1" applyAlignment="1">
      <alignment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1" xfId="0" applyFont="1" applyBorder="1" applyAlignment="1">
      <alignment vertical="center" wrapText="1"/>
    </xf>
    <xf numFmtId="4" fontId="14" fillId="0" borderId="1" xfId="0" applyNumberFormat="1" applyFont="1" applyBorder="1" applyAlignment="1">
      <alignment horizontal="left" vertical="top" wrapText="1"/>
    </xf>
    <xf numFmtId="4" fontId="14" fillId="0" borderId="2"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4" fontId="14" fillId="0" borderId="4" xfId="0" applyNumberFormat="1" applyFont="1" applyBorder="1" applyAlignment="1">
      <alignment horizontal="left" vertical="top" wrapText="1"/>
    </xf>
    <xf numFmtId="0" fontId="7" fillId="0" borderId="7" xfId="0" applyFont="1" applyBorder="1" applyAlignment="1">
      <alignment horizontal="center" vertical="center" wrapText="1"/>
    </xf>
    <xf numFmtId="0" fontId="15" fillId="0" borderId="8" xfId="0" applyFont="1" applyBorder="1"/>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6" fillId="0" borderId="0" xfId="0" applyFont="1" applyBorder="1" applyAlignment="1">
      <alignment horizontal="center" vertical="center" wrapText="1"/>
    </xf>
    <xf numFmtId="4" fontId="14" fillId="3" borderId="1" xfId="0" applyNumberFormat="1" applyFont="1" applyFill="1" applyBorder="1" applyAlignment="1">
      <alignment horizontal="left" vertical="top" wrapText="1"/>
    </xf>
    <xf numFmtId="4" fontId="14" fillId="3" borderId="2" xfId="0" applyNumberFormat="1" applyFont="1" applyFill="1" applyBorder="1" applyAlignment="1">
      <alignment horizontal="left" vertical="top" wrapText="1"/>
    </xf>
    <xf numFmtId="4" fontId="14" fillId="3" borderId="3" xfId="0" applyNumberFormat="1" applyFont="1" applyFill="1" applyBorder="1" applyAlignment="1">
      <alignment horizontal="left" vertical="top" wrapText="1"/>
    </xf>
    <xf numFmtId="4" fontId="14" fillId="3" borderId="4" xfId="0" applyNumberFormat="1" applyFont="1" applyFill="1" applyBorder="1" applyAlignment="1">
      <alignment horizontal="left" vertical="top" wrapText="1"/>
    </xf>
    <xf numFmtId="49" fontId="12"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4" fillId="0" borderId="10"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4" fontId="3" fillId="6" borderId="1"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49" fontId="12" fillId="0"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4" fontId="4" fillId="2" borderId="11"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6" borderId="11" xfId="0" applyNumberFormat="1" applyFont="1" applyFill="1" applyBorder="1" applyAlignment="1">
      <alignment horizontal="center" vertical="center" wrapText="1"/>
    </xf>
    <xf numFmtId="4" fontId="4" fillId="6" borderId="10" xfId="0" applyNumberFormat="1" applyFont="1" applyFill="1" applyBorder="1" applyAlignment="1">
      <alignment horizontal="center" vertical="center" wrapText="1"/>
    </xf>
    <xf numFmtId="0" fontId="10" fillId="2" borderId="1" xfId="0" applyFont="1" applyFill="1" applyBorder="1" applyAlignment="1">
      <alignment vertical="center" wrapText="1"/>
    </xf>
    <xf numFmtId="4" fontId="3" fillId="3"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4" fontId="4" fillId="6"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10" fillId="0" borderId="12" xfId="0"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0" xfId="0" applyFont="1" applyFill="1" applyBorder="1" applyAlignment="1">
      <alignment horizontal="left" vertical="top" wrapText="1"/>
    </xf>
    <xf numFmtId="0" fontId="17" fillId="3" borderId="12"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center" vertical="center" wrapText="1"/>
    </xf>
    <xf numFmtId="0" fontId="10" fillId="0" borderId="11" xfId="0" applyFont="1" applyFill="1" applyBorder="1" applyAlignment="1">
      <alignment vertical="top" wrapText="1"/>
    </xf>
    <xf numFmtId="0" fontId="10" fillId="0" borderId="1" xfId="0" applyFont="1" applyFill="1" applyBorder="1" applyAlignment="1">
      <alignment horizontal="center" vertical="center"/>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165" fontId="3" fillId="0" borderId="1" xfId="0" applyNumberFormat="1" applyFont="1" applyBorder="1" applyAlignment="1">
      <alignment horizontal="center" vertical="center"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1" xfId="0" applyFont="1" applyFill="1" applyBorder="1" applyAlignment="1">
      <alignment horizontal="left" vertical="top"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2" fillId="5" borderId="1" xfId="0" applyFont="1" applyFill="1" applyBorder="1" applyAlignment="1">
      <alignment horizontal="center" vertical="top"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0" xfId="0" applyFont="1" applyAlignment="1">
      <alignment horizontal="right"/>
    </xf>
    <xf numFmtId="0" fontId="10" fillId="0" borderId="0" xfId="0" applyFont="1" applyAlignment="1">
      <alignment horizontal="right" vertical="top"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1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2" fillId="0" borderId="11" xfId="0" applyFont="1" applyFill="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13" xfId="0" applyFont="1" applyFill="1" applyBorder="1" applyAlignment="1">
      <alignment horizontal="left" vertical="top" wrapText="1"/>
    </xf>
    <xf numFmtId="0" fontId="16" fillId="0" borderId="1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2"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3" fillId="0" borderId="1" xfId="0" applyFont="1" applyFill="1" applyBorder="1" applyAlignment="1">
      <alignment horizontal="left" vertical="top" wrapText="1"/>
    </xf>
    <xf numFmtId="4" fontId="12" fillId="0" borderId="11" xfId="0" applyNumberFormat="1" applyFont="1" applyBorder="1" applyAlignment="1">
      <alignment horizontal="center" vertical="center" wrapText="1"/>
    </xf>
    <xf numFmtId="4" fontId="12" fillId="0" borderId="12" xfId="0" applyNumberFormat="1"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5" xfId="0" applyFont="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right" vertical="center"/>
    </xf>
    <xf numFmtId="0" fontId="26" fillId="0" borderId="0" xfId="0" applyFont="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5"/>
  <sheetViews>
    <sheetView tabSelected="1" zoomScale="80" zoomScaleNormal="80" zoomScaleSheetLayoutView="70" zoomScalePageLayoutView="50" workbookViewId="0">
      <selection activeCell="A13" sqref="A13:G14"/>
    </sheetView>
  </sheetViews>
  <sheetFormatPr defaultRowHeight="15" x14ac:dyDescent="0.2"/>
  <cols>
    <col min="1" max="1" width="80.42578125" style="44" customWidth="1"/>
    <col min="2" max="3" width="24.42578125" style="44" customWidth="1"/>
    <col min="4" max="7" width="24.42578125" style="1" customWidth="1"/>
    <col min="8" max="10" width="9.140625" style="1"/>
    <col min="11" max="11" width="16.7109375" style="1" bestFit="1" customWidth="1"/>
    <col min="12" max="16384" width="9.140625" style="1"/>
  </cols>
  <sheetData>
    <row r="1" spans="1:7" x14ac:dyDescent="0.2">
      <c r="A1" s="50" t="s">
        <v>20</v>
      </c>
      <c r="B1" s="51"/>
      <c r="C1" s="51"/>
      <c r="D1" s="51"/>
      <c r="E1" s="312" t="s">
        <v>65</v>
      </c>
      <c r="F1" s="312"/>
      <c r="G1" s="312"/>
    </row>
    <row r="2" spans="1:7" x14ac:dyDescent="0.2">
      <c r="A2" s="50"/>
      <c r="B2" s="51"/>
      <c r="C2" s="51"/>
      <c r="D2" s="51"/>
      <c r="E2" s="312" t="s">
        <v>256</v>
      </c>
      <c r="F2" s="312"/>
      <c r="G2" s="312"/>
    </row>
    <row r="3" spans="1:7" x14ac:dyDescent="0.2">
      <c r="A3" s="50"/>
      <c r="B3" s="51"/>
      <c r="C3" s="51"/>
      <c r="D3" s="51"/>
      <c r="E3" s="312" t="s">
        <v>66</v>
      </c>
      <c r="F3" s="312"/>
      <c r="G3" s="312"/>
    </row>
    <row r="4" spans="1:7" x14ac:dyDescent="0.2">
      <c r="A4" s="52"/>
      <c r="B4" s="51"/>
      <c r="C4" s="51"/>
      <c r="D4" s="51"/>
      <c r="E4" s="313" t="s">
        <v>347</v>
      </c>
      <c r="F4" s="313"/>
      <c r="G4" s="313"/>
    </row>
    <row r="5" spans="1:7" x14ac:dyDescent="0.2">
      <c r="A5" s="50"/>
      <c r="B5" s="51"/>
      <c r="C5" s="51"/>
      <c r="D5" s="51"/>
      <c r="E5" s="51"/>
      <c r="F5" s="51"/>
      <c r="G5" s="51"/>
    </row>
    <row r="6" spans="1:7" x14ac:dyDescent="0.2">
      <c r="A6" s="50"/>
      <c r="B6" s="51"/>
      <c r="C6" s="51"/>
      <c r="D6" s="51"/>
      <c r="E6" s="51"/>
      <c r="F6" s="51"/>
      <c r="G6" s="51"/>
    </row>
    <row r="7" spans="1:7" x14ac:dyDescent="0.2">
      <c r="A7" s="50"/>
      <c r="B7" s="51"/>
      <c r="C7" s="51"/>
      <c r="D7" s="51"/>
      <c r="E7" s="51"/>
      <c r="F7" s="51"/>
      <c r="G7" s="51"/>
    </row>
    <row r="8" spans="1:7" ht="142.5" customHeight="1" x14ac:dyDescent="0.2">
      <c r="A8" s="296"/>
      <c r="B8" s="296"/>
      <c r="C8" s="296"/>
      <c r="D8" s="296"/>
      <c r="E8" s="296"/>
      <c r="F8" s="296"/>
      <c r="G8" s="296"/>
    </row>
    <row r="9" spans="1:7" ht="129.75" customHeight="1" x14ac:dyDescent="0.2">
      <c r="A9" s="50"/>
      <c r="B9" s="314"/>
      <c r="C9" s="314"/>
      <c r="D9" s="314"/>
      <c r="E9" s="51"/>
      <c r="F9" s="51"/>
      <c r="G9" s="51"/>
    </row>
    <row r="10" spans="1:7" x14ac:dyDescent="0.2">
      <c r="A10" s="50"/>
      <c r="B10" s="51"/>
      <c r="C10" s="51"/>
      <c r="D10" s="51"/>
      <c r="E10" s="51"/>
      <c r="F10" s="51"/>
      <c r="G10" s="51"/>
    </row>
    <row r="11" spans="1:7" x14ac:dyDescent="0.2">
      <c r="A11" s="50"/>
      <c r="B11" s="51"/>
      <c r="C11" s="51"/>
      <c r="D11" s="51"/>
      <c r="E11" s="51"/>
      <c r="F11" s="51"/>
      <c r="G11" s="51"/>
    </row>
    <row r="12" spans="1:7" ht="37.5" customHeight="1" x14ac:dyDescent="0.2">
      <c r="A12" s="297" t="s">
        <v>108</v>
      </c>
      <c r="B12" s="297"/>
      <c r="C12" s="297"/>
      <c r="D12" s="297"/>
      <c r="E12" s="297"/>
      <c r="F12" s="297"/>
      <c r="G12" s="297"/>
    </row>
    <row r="13" spans="1:7" ht="48.75" customHeight="1" x14ac:dyDescent="0.2">
      <c r="A13" s="299" t="s">
        <v>114</v>
      </c>
      <c r="B13" s="299"/>
      <c r="C13" s="299"/>
      <c r="D13" s="299"/>
      <c r="E13" s="299"/>
      <c r="F13" s="299"/>
      <c r="G13" s="299"/>
    </row>
    <row r="14" spans="1:7" ht="52.5" customHeight="1" x14ac:dyDescent="0.2">
      <c r="A14" s="299"/>
      <c r="B14" s="299"/>
      <c r="C14" s="299"/>
      <c r="D14" s="299"/>
      <c r="E14" s="299"/>
      <c r="F14" s="299"/>
      <c r="G14" s="299"/>
    </row>
    <row r="15" spans="1:7" ht="86.25" hidden="1" customHeight="1" x14ac:dyDescent="0.2">
      <c r="A15" s="51"/>
      <c r="B15" s="51"/>
      <c r="C15" s="51"/>
      <c r="D15" s="51"/>
      <c r="E15" s="51"/>
      <c r="F15" s="51"/>
      <c r="G15" s="51"/>
    </row>
    <row r="16" spans="1:7" hidden="1" x14ac:dyDescent="0.2">
      <c r="A16" s="53"/>
      <c r="B16" s="51"/>
      <c r="C16" s="51"/>
      <c r="D16" s="51"/>
      <c r="E16" s="51"/>
      <c r="F16" s="51"/>
      <c r="G16" s="51"/>
    </row>
    <row r="17" spans="1:11" ht="189.75" customHeight="1" x14ac:dyDescent="0.2">
      <c r="A17" s="50"/>
      <c r="B17" s="51"/>
      <c r="C17" s="51"/>
      <c r="D17" s="51"/>
      <c r="E17" s="51"/>
      <c r="F17" s="51"/>
      <c r="G17" s="51"/>
    </row>
    <row r="18" spans="1:11" s="3" customFormat="1" ht="14.25" x14ac:dyDescent="0.2">
      <c r="A18" s="310" t="s">
        <v>0</v>
      </c>
      <c r="B18" s="310"/>
      <c r="C18" s="310"/>
      <c r="D18" s="310"/>
      <c r="E18" s="310"/>
      <c r="F18" s="310"/>
      <c r="G18" s="310"/>
      <c r="H18" s="8"/>
      <c r="I18" s="8"/>
      <c r="J18" s="8"/>
      <c r="K18" s="58"/>
    </row>
    <row r="19" spans="1:11" s="3" customFormat="1" ht="14.25" x14ac:dyDescent="0.2">
      <c r="A19" s="311" t="s">
        <v>110</v>
      </c>
      <c r="B19" s="311"/>
      <c r="C19" s="311"/>
      <c r="D19" s="311"/>
      <c r="E19" s="311"/>
      <c r="F19" s="311"/>
      <c r="G19" s="311"/>
      <c r="H19" s="12"/>
      <c r="I19" s="12"/>
      <c r="J19" s="12"/>
      <c r="K19" s="59"/>
    </row>
    <row r="20" spans="1:11" s="3" customFormat="1" ht="14.25" x14ac:dyDescent="0.2">
      <c r="A20" s="310" t="s">
        <v>116</v>
      </c>
      <c r="B20" s="310"/>
      <c r="C20" s="310"/>
      <c r="D20" s="310"/>
      <c r="E20" s="310"/>
      <c r="F20" s="310"/>
      <c r="G20" s="310"/>
      <c r="H20" s="8"/>
      <c r="I20" s="8"/>
      <c r="J20" s="8"/>
      <c r="K20" s="58"/>
    </row>
    <row r="21" spans="1:11" ht="42" customHeight="1" x14ac:dyDescent="0.2">
      <c r="A21" s="298" t="s">
        <v>109</v>
      </c>
      <c r="B21" s="298"/>
      <c r="C21" s="298"/>
      <c r="D21" s="298"/>
      <c r="E21" s="298"/>
      <c r="F21" s="298"/>
      <c r="G21" s="298"/>
    </row>
    <row r="22" spans="1:11" ht="15.75" customHeight="1" x14ac:dyDescent="0.2">
      <c r="A22" s="306" t="s">
        <v>114</v>
      </c>
      <c r="B22" s="306"/>
      <c r="C22" s="306"/>
      <c r="D22" s="306"/>
      <c r="E22" s="306"/>
      <c r="F22" s="306"/>
      <c r="G22" s="306"/>
    </row>
    <row r="23" spans="1:11" ht="15.75" customHeight="1" x14ac:dyDescent="0.2">
      <c r="A23" s="306"/>
      <c r="B23" s="306"/>
      <c r="C23" s="306"/>
      <c r="D23" s="306"/>
      <c r="E23" s="306"/>
      <c r="F23" s="306"/>
      <c r="G23" s="306"/>
    </row>
    <row r="24" spans="1:11" ht="60.75" customHeight="1" x14ac:dyDescent="0.2">
      <c r="A24" s="45" t="s">
        <v>21</v>
      </c>
      <c r="B24" s="295" t="s">
        <v>348</v>
      </c>
      <c r="C24" s="295"/>
      <c r="D24" s="295"/>
      <c r="E24" s="295"/>
      <c r="F24" s="295"/>
      <c r="G24" s="295"/>
    </row>
    <row r="25" spans="1:11" ht="56.25" customHeight="1" x14ac:dyDescent="0.2">
      <c r="A25" s="45" t="s">
        <v>115</v>
      </c>
      <c r="B25" s="300" t="s">
        <v>435</v>
      </c>
      <c r="C25" s="301"/>
      <c r="D25" s="301"/>
      <c r="E25" s="301"/>
      <c r="F25" s="301"/>
      <c r="G25" s="302"/>
    </row>
    <row r="26" spans="1:11" ht="135.75" customHeight="1" x14ac:dyDescent="0.2">
      <c r="A26" s="45" t="s">
        <v>22</v>
      </c>
      <c r="B26" s="303" t="s">
        <v>102</v>
      </c>
      <c r="C26" s="304"/>
      <c r="D26" s="304"/>
      <c r="E26" s="304"/>
      <c r="F26" s="304"/>
      <c r="G26" s="305"/>
    </row>
    <row r="27" spans="1:11" ht="39.75" customHeight="1" x14ac:dyDescent="0.2">
      <c r="A27" s="307" t="s">
        <v>23</v>
      </c>
      <c r="B27" s="295" t="s">
        <v>67</v>
      </c>
      <c r="C27" s="295"/>
      <c r="D27" s="295"/>
      <c r="E27" s="295"/>
      <c r="F27" s="295"/>
      <c r="G27" s="295"/>
    </row>
    <row r="28" spans="1:11" ht="39.75" customHeight="1" x14ac:dyDescent="0.2">
      <c r="A28" s="308"/>
      <c r="B28" s="295" t="s">
        <v>75</v>
      </c>
      <c r="C28" s="295"/>
      <c r="D28" s="295"/>
      <c r="E28" s="295"/>
      <c r="F28" s="295"/>
      <c r="G28" s="295"/>
    </row>
    <row r="29" spans="1:11" ht="35.25" customHeight="1" x14ac:dyDescent="0.2">
      <c r="A29" s="309"/>
      <c r="B29" s="295" t="s">
        <v>76</v>
      </c>
      <c r="C29" s="295"/>
      <c r="D29" s="295"/>
      <c r="E29" s="295"/>
      <c r="F29" s="295"/>
      <c r="G29" s="295"/>
    </row>
    <row r="30" spans="1:11" ht="57.75" customHeight="1" x14ac:dyDescent="0.2">
      <c r="A30" s="45" t="s">
        <v>54</v>
      </c>
      <c r="B30" s="294" t="s">
        <v>25</v>
      </c>
      <c r="C30" s="294"/>
      <c r="D30" s="294"/>
      <c r="E30" s="294"/>
      <c r="F30" s="294"/>
      <c r="G30" s="294"/>
    </row>
    <row r="31" spans="1:11" ht="34.5" customHeight="1" x14ac:dyDescent="0.2">
      <c r="A31" s="45" t="s">
        <v>24</v>
      </c>
      <c r="B31" s="46" t="s">
        <v>26</v>
      </c>
      <c r="C31" s="46" t="s">
        <v>4</v>
      </c>
      <c r="D31" s="46" t="s">
        <v>5</v>
      </c>
      <c r="E31" s="46" t="s">
        <v>91</v>
      </c>
      <c r="F31" s="46" t="s">
        <v>92</v>
      </c>
      <c r="G31" s="46" t="s">
        <v>93</v>
      </c>
    </row>
    <row r="32" spans="1:11" ht="48" customHeight="1" x14ac:dyDescent="0.2">
      <c r="A32" s="47" t="s">
        <v>77</v>
      </c>
      <c r="B32" s="189">
        <f>SUM(C32:G32)</f>
        <v>538171.11049000011</v>
      </c>
      <c r="C32" s="189">
        <f>'Прил 7 Перечень мероприятий'!G146</f>
        <v>113362.06032999999</v>
      </c>
      <c r="D32" s="189">
        <f>'Прил 7 Перечень мероприятий'!H146</f>
        <v>106768.85016000002</v>
      </c>
      <c r="E32" s="189">
        <f>'Прил 7 Перечень мероприятий'!I146</f>
        <v>105896.8</v>
      </c>
      <c r="F32" s="189">
        <f>'Прил 7 Перечень мероприятий'!J146</f>
        <v>106071.70000000001</v>
      </c>
      <c r="G32" s="189">
        <f>'Прил 7 Перечень мероприятий'!K146</f>
        <v>106071.70000000001</v>
      </c>
      <c r="K32" s="278"/>
    </row>
    <row r="33" spans="1:16" ht="48" customHeight="1" x14ac:dyDescent="0.2">
      <c r="A33" s="2" t="s">
        <v>12</v>
      </c>
      <c r="B33" s="207">
        <f>SUM(C33:G33)</f>
        <v>34363.57</v>
      </c>
      <c r="C33" s="207">
        <f>'Прил 7 Перечень мероприятий'!G147</f>
        <v>26424.37</v>
      </c>
      <c r="D33" s="207">
        <f>'Прил 7 Перечень мероприятий'!H147</f>
        <v>0</v>
      </c>
      <c r="E33" s="207">
        <f>'Прил 7 Перечень мероприятий'!I147</f>
        <v>7939.2</v>
      </c>
      <c r="F33" s="207">
        <f>'Прил 7 Перечень мероприятий'!J148</f>
        <v>0</v>
      </c>
      <c r="G33" s="207">
        <f>'Прил 7 Перечень мероприятий'!K148</f>
        <v>0</v>
      </c>
      <c r="K33" s="146"/>
    </row>
    <row r="34" spans="1:16" ht="46.5" customHeight="1" x14ac:dyDescent="0.2">
      <c r="A34" s="2" t="s">
        <v>55</v>
      </c>
      <c r="B34" s="207">
        <v>0</v>
      </c>
      <c r="C34" s="207">
        <v>0</v>
      </c>
      <c r="D34" s="207">
        <f>'Прил 7 Перечень мероприятий'!H148</f>
        <v>150000</v>
      </c>
      <c r="E34" s="207">
        <v>0</v>
      </c>
      <c r="F34" s="207">
        <v>0</v>
      </c>
      <c r="G34" s="207">
        <v>0</v>
      </c>
      <c r="K34" s="146"/>
      <c r="P34" s="278">
        <f>111083.2-D32</f>
        <v>4314.3498399999808</v>
      </c>
    </row>
    <row r="35" spans="1:16" ht="19.5" customHeight="1" x14ac:dyDescent="0.2">
      <c r="A35" s="45" t="s">
        <v>11</v>
      </c>
      <c r="B35" s="193">
        <f>SUM(C35:G35)</f>
        <v>722534.68048999994</v>
      </c>
      <c r="C35" s="193">
        <f t="shared" ref="C35:G35" si="0">SUM(C32:C34)</f>
        <v>139786.43033</v>
      </c>
      <c r="D35" s="171">
        <f>SUM(D32:D34)</f>
        <v>256768.85016000003</v>
      </c>
      <c r="E35" s="171">
        <f t="shared" si="0"/>
        <v>113836</v>
      </c>
      <c r="F35" s="171">
        <f t="shared" si="0"/>
        <v>106071.70000000001</v>
      </c>
      <c r="G35" s="171">
        <f t="shared" si="0"/>
        <v>106071.70000000001</v>
      </c>
    </row>
    <row r="36" spans="1:16" ht="336.75" customHeight="1" x14ac:dyDescent="0.2">
      <c r="A36" s="293" t="s">
        <v>425</v>
      </c>
      <c r="B36" s="293"/>
      <c r="C36" s="293"/>
      <c r="D36" s="293"/>
      <c r="E36" s="293"/>
      <c r="F36" s="293"/>
      <c r="G36" s="293"/>
    </row>
    <row r="37" spans="1:16" ht="390" customHeight="1" x14ac:dyDescent="0.2">
      <c r="A37" s="290" t="s">
        <v>457</v>
      </c>
      <c r="B37" s="290"/>
      <c r="C37" s="290"/>
      <c r="D37" s="290"/>
      <c r="E37" s="290"/>
      <c r="F37" s="290"/>
      <c r="G37" s="290"/>
    </row>
    <row r="38" spans="1:16" ht="72" customHeight="1" x14ac:dyDescent="0.2">
      <c r="A38" s="289" t="s">
        <v>415</v>
      </c>
      <c r="B38" s="289"/>
      <c r="C38" s="289"/>
      <c r="D38" s="289"/>
      <c r="E38" s="289"/>
      <c r="F38" s="289"/>
      <c r="G38" s="289"/>
    </row>
    <row r="39" spans="1:16" ht="291" customHeight="1" x14ac:dyDescent="0.2">
      <c r="A39" s="290" t="s">
        <v>152</v>
      </c>
      <c r="B39" s="290"/>
      <c r="C39" s="290"/>
      <c r="D39" s="290"/>
      <c r="E39" s="290"/>
      <c r="F39" s="290"/>
      <c r="G39" s="290"/>
    </row>
    <row r="40" spans="1:16" ht="65.25" customHeight="1" x14ac:dyDescent="0.2">
      <c r="A40" s="290"/>
      <c r="B40" s="290"/>
      <c r="C40" s="290"/>
      <c r="D40" s="290"/>
      <c r="E40" s="290"/>
      <c r="F40" s="290"/>
      <c r="G40" s="290"/>
      <c r="M40" s="41"/>
    </row>
    <row r="41" spans="1:16" ht="73.5" customHeight="1" x14ac:dyDescent="0.2">
      <c r="A41" s="290" t="s">
        <v>153</v>
      </c>
      <c r="B41" s="290"/>
      <c r="C41" s="290"/>
      <c r="D41" s="290"/>
      <c r="E41" s="290"/>
      <c r="F41" s="290"/>
      <c r="G41" s="290"/>
    </row>
    <row r="42" spans="1:16" ht="69" customHeight="1" x14ac:dyDescent="0.2">
      <c r="A42" s="289" t="s">
        <v>416</v>
      </c>
      <c r="B42" s="289"/>
      <c r="C42" s="289"/>
      <c r="D42" s="289"/>
      <c r="E42" s="289"/>
      <c r="F42" s="289"/>
      <c r="G42" s="289"/>
    </row>
    <row r="43" spans="1:16" ht="70.5" customHeight="1" x14ac:dyDescent="0.2">
      <c r="A43" s="289" t="s">
        <v>414</v>
      </c>
      <c r="B43" s="289"/>
      <c r="C43" s="289"/>
      <c r="D43" s="289"/>
      <c r="E43" s="289"/>
      <c r="F43" s="289"/>
      <c r="G43" s="289"/>
    </row>
    <row r="44" spans="1:16" ht="156.75" customHeight="1" x14ac:dyDescent="0.2">
      <c r="A44" s="289" t="s">
        <v>439</v>
      </c>
      <c r="B44" s="291"/>
      <c r="C44" s="291"/>
      <c r="D44" s="291"/>
      <c r="E44" s="291"/>
      <c r="F44" s="291"/>
      <c r="G44" s="291"/>
    </row>
    <row r="45" spans="1:16" ht="64.5" customHeight="1" x14ac:dyDescent="0.2">
      <c r="A45" s="292" t="s">
        <v>340</v>
      </c>
      <c r="B45" s="289"/>
      <c r="C45" s="289"/>
      <c r="D45" s="289"/>
      <c r="E45" s="289"/>
      <c r="F45" s="289"/>
      <c r="G45" s="289"/>
    </row>
  </sheetData>
  <mergeCells count="30">
    <mergeCell ref="A19:G19"/>
    <mergeCell ref="A20:G20"/>
    <mergeCell ref="E1:G1"/>
    <mergeCell ref="E2:G2"/>
    <mergeCell ref="E3:G3"/>
    <mergeCell ref="E4:G4"/>
    <mergeCell ref="B9:D9"/>
    <mergeCell ref="A36:G36"/>
    <mergeCell ref="A38:G38"/>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2:G42"/>
    <mergeCell ref="A37:G37"/>
    <mergeCell ref="A44:G44"/>
    <mergeCell ref="A45:G45"/>
    <mergeCell ref="A43:G43"/>
    <mergeCell ref="A39:G40"/>
    <mergeCell ref="A41:G41"/>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5" max="6" man="1"/>
    <brk id="38" max="6"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J19" sqref="J19"/>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0.285156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539" t="s">
        <v>365</v>
      </c>
      <c r="B1" s="539"/>
      <c r="C1" s="539"/>
      <c r="D1" s="539"/>
      <c r="E1" s="539"/>
      <c r="F1" s="539"/>
      <c r="G1" s="539"/>
      <c r="H1" s="539"/>
      <c r="I1" s="539"/>
      <c r="J1" s="539"/>
      <c r="K1" s="539"/>
      <c r="L1" s="539"/>
      <c r="M1" s="539"/>
    </row>
    <row r="2" spans="1:13" x14ac:dyDescent="0.25">
      <c r="A2" s="539" t="s">
        <v>366</v>
      </c>
      <c r="B2" s="539"/>
      <c r="C2" s="539"/>
      <c r="D2" s="539"/>
      <c r="E2" s="539"/>
      <c r="F2" s="539"/>
      <c r="G2" s="539"/>
      <c r="H2" s="539"/>
      <c r="I2" s="539"/>
      <c r="J2" s="539"/>
      <c r="K2" s="539"/>
      <c r="L2" s="539"/>
      <c r="M2" s="539"/>
    </row>
    <row r="3" spans="1:13" x14ac:dyDescent="0.25">
      <c r="A3" s="539"/>
      <c r="B3" s="539"/>
      <c r="C3" s="539"/>
      <c r="D3" s="539"/>
      <c r="E3" s="539"/>
      <c r="F3" s="539"/>
      <c r="G3" s="539"/>
      <c r="H3" s="539"/>
      <c r="I3" s="539"/>
      <c r="J3" s="539"/>
    </row>
    <row r="4" spans="1:13" ht="33.75" customHeight="1" x14ac:dyDescent="0.25">
      <c r="A4" s="538" t="s">
        <v>392</v>
      </c>
      <c r="B4" s="538"/>
      <c r="C4" s="538"/>
      <c r="D4" s="538"/>
      <c r="E4" s="538"/>
      <c r="F4" s="538"/>
      <c r="G4" s="538"/>
      <c r="H4" s="538"/>
      <c r="I4" s="538"/>
      <c r="J4" s="538"/>
      <c r="K4" s="538"/>
      <c r="L4" s="538"/>
      <c r="M4" s="538"/>
    </row>
    <row r="5" spans="1:13" ht="35.25" customHeight="1" x14ac:dyDescent="0.25">
      <c r="A5" s="538" t="s">
        <v>400</v>
      </c>
      <c r="B5" s="538"/>
      <c r="C5" s="538"/>
      <c r="D5" s="538"/>
      <c r="E5" s="538"/>
      <c r="F5" s="538"/>
      <c r="G5" s="538"/>
      <c r="H5" s="538"/>
      <c r="I5" s="538"/>
      <c r="J5" s="538"/>
      <c r="K5" s="538"/>
      <c r="L5" s="538"/>
      <c r="M5" s="538"/>
    </row>
    <row r="6" spans="1:13" ht="24.75" customHeight="1" x14ac:dyDescent="0.25">
      <c r="A6" s="540" t="s">
        <v>367</v>
      </c>
      <c r="B6" s="540"/>
      <c r="C6" s="540"/>
      <c r="D6" s="540"/>
      <c r="E6" s="540"/>
      <c r="F6" s="540"/>
      <c r="G6" s="540"/>
      <c r="H6" s="540"/>
      <c r="I6" s="540"/>
      <c r="J6" s="540"/>
      <c r="K6" s="540"/>
      <c r="L6" s="540"/>
      <c r="M6" s="540"/>
    </row>
    <row r="7" spans="1:13" ht="34.5" customHeight="1" x14ac:dyDescent="0.25">
      <c r="A7" s="538" t="s">
        <v>368</v>
      </c>
      <c r="B7" s="538"/>
      <c r="C7" s="538"/>
      <c r="D7" s="538"/>
      <c r="E7" s="538"/>
      <c r="F7" s="538"/>
      <c r="G7" s="538"/>
      <c r="H7" s="538"/>
      <c r="I7" s="538"/>
      <c r="J7" s="538"/>
      <c r="K7" s="538"/>
      <c r="L7" s="538"/>
      <c r="M7" s="538"/>
    </row>
    <row r="8" spans="1:13" x14ac:dyDescent="0.25">
      <c r="A8" s="206"/>
    </row>
    <row r="9" spans="1:13" ht="18" customHeight="1" x14ac:dyDescent="0.25">
      <c r="A9" s="203" t="s">
        <v>448</v>
      </c>
    </row>
    <row r="10" spans="1:13" ht="7.5" customHeight="1" x14ac:dyDescent="0.25">
      <c r="A10" s="203"/>
    </row>
    <row r="11" spans="1:13" ht="17.25" customHeight="1" x14ac:dyDescent="0.25">
      <c r="A11" s="203" t="s">
        <v>449</v>
      </c>
    </row>
    <row r="12" spans="1:13" ht="11.25" customHeight="1" x14ac:dyDescent="0.25">
      <c r="A12" s="203"/>
    </row>
    <row r="13" spans="1:13" s="217" customFormat="1" ht="85.5" customHeight="1" x14ac:dyDescent="0.2">
      <c r="A13" s="544" t="s">
        <v>353</v>
      </c>
      <c r="B13" s="544" t="s">
        <v>378</v>
      </c>
      <c r="C13" s="544" t="s">
        <v>379</v>
      </c>
      <c r="D13" s="544" t="s">
        <v>380</v>
      </c>
      <c r="E13" s="548" t="s">
        <v>354</v>
      </c>
      <c r="F13" s="544" t="s">
        <v>381</v>
      </c>
      <c r="G13" s="544" t="s">
        <v>355</v>
      </c>
      <c r="H13" s="544" t="s">
        <v>358</v>
      </c>
      <c r="I13" s="544"/>
      <c r="J13" s="544"/>
      <c r="K13" s="544"/>
      <c r="L13" s="544" t="s">
        <v>356</v>
      </c>
      <c r="M13" s="544" t="s">
        <v>382</v>
      </c>
    </row>
    <row r="14" spans="1:13" s="217" customFormat="1" ht="24" customHeight="1" x14ac:dyDescent="0.2">
      <c r="A14" s="544"/>
      <c r="B14" s="544"/>
      <c r="C14" s="544"/>
      <c r="D14" s="544"/>
      <c r="E14" s="549"/>
      <c r="F14" s="544"/>
      <c r="G14" s="544"/>
      <c r="H14" s="204" t="s">
        <v>26</v>
      </c>
      <c r="I14" s="204" t="s">
        <v>4</v>
      </c>
      <c r="J14" s="204" t="s">
        <v>5</v>
      </c>
      <c r="K14" s="204" t="s">
        <v>91</v>
      </c>
      <c r="L14" s="544"/>
      <c r="M14" s="544"/>
    </row>
    <row r="15" spans="1:13" s="217" customFormat="1" ht="12.75" x14ac:dyDescent="0.2">
      <c r="A15" s="205">
        <v>1</v>
      </c>
      <c r="B15" s="205">
        <v>2</v>
      </c>
      <c r="C15" s="205">
        <v>3</v>
      </c>
      <c r="D15" s="205">
        <v>4</v>
      </c>
      <c r="E15" s="205">
        <v>5</v>
      </c>
      <c r="F15" s="205">
        <v>6</v>
      </c>
      <c r="G15" s="205">
        <v>7</v>
      </c>
      <c r="H15" s="205">
        <v>8</v>
      </c>
      <c r="I15" s="205">
        <v>9</v>
      </c>
      <c r="J15" s="205">
        <v>10</v>
      </c>
      <c r="K15" s="205">
        <v>11</v>
      </c>
      <c r="L15" s="205">
        <v>12</v>
      </c>
      <c r="M15" s="205">
        <v>13</v>
      </c>
    </row>
    <row r="16" spans="1:13" ht="19.5" customHeight="1" x14ac:dyDescent="0.25">
      <c r="A16" s="211" t="s">
        <v>2</v>
      </c>
      <c r="B16" s="212" t="s">
        <v>374</v>
      </c>
      <c r="C16" s="210"/>
      <c r="D16" s="210"/>
      <c r="E16" s="210"/>
      <c r="F16" s="210"/>
      <c r="G16" s="213" t="s">
        <v>11</v>
      </c>
      <c r="H16" s="214">
        <f>H17+H18</f>
        <v>0</v>
      </c>
      <c r="I16" s="214">
        <f t="shared" ref="I16:K16" si="0">I17+I18</f>
        <v>0</v>
      </c>
      <c r="J16" s="214">
        <f t="shared" si="0"/>
        <v>3460</v>
      </c>
      <c r="K16" s="214">
        <f t="shared" si="0"/>
        <v>0</v>
      </c>
      <c r="L16" s="213"/>
      <c r="M16" s="541" t="s">
        <v>383</v>
      </c>
    </row>
    <row r="17" spans="1:13" ht="64.5" customHeight="1" x14ac:dyDescent="0.25">
      <c r="A17" s="545"/>
      <c r="B17" s="546" t="s">
        <v>385</v>
      </c>
      <c r="C17" s="542"/>
      <c r="D17" s="547"/>
      <c r="E17" s="547"/>
      <c r="F17" s="547"/>
      <c r="G17" s="213" t="s">
        <v>12</v>
      </c>
      <c r="H17" s="214">
        <v>0</v>
      </c>
      <c r="I17" s="214">
        <v>0</v>
      </c>
      <c r="J17" s="214">
        <v>0</v>
      </c>
      <c r="K17" s="214">
        <v>0</v>
      </c>
      <c r="L17" s="213"/>
      <c r="M17" s="542"/>
    </row>
    <row r="18" spans="1:13" ht="32.25" customHeight="1" x14ac:dyDescent="0.25">
      <c r="A18" s="545"/>
      <c r="B18" s="546"/>
      <c r="C18" s="543"/>
      <c r="D18" s="547"/>
      <c r="E18" s="547"/>
      <c r="F18" s="547"/>
      <c r="G18" s="213" t="s">
        <v>375</v>
      </c>
      <c r="H18" s="214">
        <v>0</v>
      </c>
      <c r="I18" s="214">
        <v>0</v>
      </c>
      <c r="J18" s="214">
        <f>'Прил 7 Перечень мероприятий'!H62</f>
        <v>3460</v>
      </c>
      <c r="K18" s="214">
        <v>0</v>
      </c>
      <c r="L18" s="213"/>
      <c r="M18" s="542"/>
    </row>
    <row r="19" spans="1:13" x14ac:dyDescent="0.25">
      <c r="A19" s="215"/>
      <c r="B19" s="213" t="s">
        <v>377</v>
      </c>
      <c r="C19" s="215"/>
      <c r="D19" s="215"/>
      <c r="E19" s="215"/>
      <c r="F19" s="215"/>
      <c r="G19" s="215"/>
      <c r="H19" s="216">
        <f>H16</f>
        <v>0</v>
      </c>
      <c r="I19" s="216">
        <f t="shared" ref="I19:K19" si="1">I16</f>
        <v>0</v>
      </c>
      <c r="J19" s="216">
        <f t="shared" si="1"/>
        <v>3460</v>
      </c>
      <c r="K19" s="216">
        <f t="shared" si="1"/>
        <v>0</v>
      </c>
      <c r="L19" s="215"/>
      <c r="M19" s="543"/>
    </row>
  </sheetData>
  <mergeCells count="24">
    <mergeCell ref="G13:G14"/>
    <mergeCell ref="H13:K13"/>
    <mergeCell ref="M13:M14"/>
    <mergeCell ref="B13:B14"/>
    <mergeCell ref="C13:C14"/>
    <mergeCell ref="D13:D14"/>
    <mergeCell ref="E13:E14"/>
    <mergeCell ref="F13:F14"/>
    <mergeCell ref="M16:M19"/>
    <mergeCell ref="L13:L14"/>
    <mergeCell ref="A1:M1"/>
    <mergeCell ref="A2:M2"/>
    <mergeCell ref="A4:M4"/>
    <mergeCell ref="A5:M5"/>
    <mergeCell ref="A6:M6"/>
    <mergeCell ref="A7:M7"/>
    <mergeCell ref="A3:J3"/>
    <mergeCell ref="A17:A18"/>
    <mergeCell ref="B17:B18"/>
    <mergeCell ref="C17:C18"/>
    <mergeCell ref="D17:D18"/>
    <mergeCell ref="E17:E18"/>
    <mergeCell ref="F17:F18"/>
    <mergeCell ref="A13:A14"/>
  </mergeCells>
  <pageMargins left="0.51181102362204722" right="0.51181102362204722" top="0.74803149606299213" bottom="0.74803149606299213"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E13" sqref="E13:E14"/>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3.425781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539" t="s">
        <v>384</v>
      </c>
      <c r="B1" s="539"/>
      <c r="C1" s="539"/>
      <c r="D1" s="539"/>
      <c r="E1" s="539"/>
      <c r="F1" s="539"/>
      <c r="G1" s="539"/>
      <c r="H1" s="539"/>
      <c r="I1" s="539"/>
      <c r="J1" s="539"/>
      <c r="K1" s="539"/>
      <c r="L1" s="539"/>
      <c r="M1" s="539"/>
    </row>
    <row r="2" spans="1:13" x14ac:dyDescent="0.25">
      <c r="A2" s="539" t="s">
        <v>366</v>
      </c>
      <c r="B2" s="539"/>
      <c r="C2" s="539"/>
      <c r="D2" s="539"/>
      <c r="E2" s="539"/>
      <c r="F2" s="539"/>
      <c r="G2" s="539"/>
      <c r="H2" s="539"/>
      <c r="I2" s="539"/>
      <c r="J2" s="539"/>
      <c r="K2" s="539"/>
      <c r="L2" s="539"/>
      <c r="M2" s="539"/>
    </row>
    <row r="3" spans="1:13" x14ac:dyDescent="0.25">
      <c r="A3" s="539"/>
      <c r="B3" s="539"/>
      <c r="C3" s="539"/>
      <c r="D3" s="539"/>
      <c r="E3" s="539"/>
      <c r="F3" s="539"/>
      <c r="G3" s="539"/>
      <c r="H3" s="539"/>
      <c r="I3" s="539"/>
      <c r="J3" s="539"/>
    </row>
    <row r="4" spans="1:13" ht="33.75" customHeight="1" x14ac:dyDescent="0.25">
      <c r="A4" s="538" t="s">
        <v>411</v>
      </c>
      <c r="B4" s="538"/>
      <c r="C4" s="538"/>
      <c r="D4" s="538"/>
      <c r="E4" s="538"/>
      <c r="F4" s="538"/>
      <c r="G4" s="538"/>
      <c r="H4" s="538"/>
      <c r="I4" s="538"/>
      <c r="J4" s="538"/>
      <c r="K4" s="538"/>
      <c r="L4" s="538"/>
      <c r="M4" s="538"/>
    </row>
    <row r="5" spans="1:13" ht="35.25" customHeight="1" x14ac:dyDescent="0.25">
      <c r="A5" s="538" t="s">
        <v>436</v>
      </c>
      <c r="B5" s="538"/>
      <c r="C5" s="538"/>
      <c r="D5" s="538"/>
      <c r="E5" s="538"/>
      <c r="F5" s="538"/>
      <c r="G5" s="538"/>
      <c r="H5" s="538"/>
      <c r="I5" s="538"/>
      <c r="J5" s="538"/>
      <c r="K5" s="538"/>
      <c r="L5" s="538"/>
      <c r="M5" s="538"/>
    </row>
    <row r="6" spans="1:13" ht="24.75" customHeight="1" x14ac:dyDescent="0.25">
      <c r="A6" s="540" t="s">
        <v>367</v>
      </c>
      <c r="B6" s="540"/>
      <c r="C6" s="540"/>
      <c r="D6" s="540"/>
      <c r="E6" s="540"/>
      <c r="F6" s="540"/>
      <c r="G6" s="540"/>
      <c r="H6" s="540"/>
      <c r="I6" s="540"/>
      <c r="J6" s="540"/>
      <c r="K6" s="540"/>
      <c r="L6" s="540"/>
      <c r="M6" s="540"/>
    </row>
    <row r="7" spans="1:13" ht="34.5" customHeight="1" x14ac:dyDescent="0.25">
      <c r="A7" s="538" t="s">
        <v>368</v>
      </c>
      <c r="B7" s="538"/>
      <c r="C7" s="538"/>
      <c r="D7" s="538"/>
      <c r="E7" s="538"/>
      <c r="F7" s="538"/>
      <c r="G7" s="538"/>
      <c r="H7" s="538"/>
      <c r="I7" s="538"/>
      <c r="J7" s="538"/>
      <c r="K7" s="538"/>
      <c r="L7" s="538"/>
      <c r="M7" s="538"/>
    </row>
    <row r="8" spans="1:13" x14ac:dyDescent="0.25">
      <c r="A8" s="231"/>
    </row>
    <row r="9" spans="1:13" ht="18" customHeight="1" x14ac:dyDescent="0.25">
      <c r="A9" s="203" t="s">
        <v>448</v>
      </c>
    </row>
    <row r="10" spans="1:13" ht="7.5" customHeight="1" x14ac:dyDescent="0.25">
      <c r="A10" s="203"/>
    </row>
    <row r="11" spans="1:13" ht="17.25" customHeight="1" x14ac:dyDescent="0.25">
      <c r="A11" s="203" t="s">
        <v>449</v>
      </c>
    </row>
    <row r="12" spans="1:13" ht="11.25" customHeight="1" x14ac:dyDescent="0.25">
      <c r="A12" s="203"/>
    </row>
    <row r="13" spans="1:13" s="217" customFormat="1" ht="85.5" customHeight="1" x14ac:dyDescent="0.2">
      <c r="A13" s="544" t="s">
        <v>353</v>
      </c>
      <c r="B13" s="544" t="s">
        <v>378</v>
      </c>
      <c r="C13" s="544" t="s">
        <v>379</v>
      </c>
      <c r="D13" s="544" t="s">
        <v>380</v>
      </c>
      <c r="E13" s="548" t="s">
        <v>354</v>
      </c>
      <c r="F13" s="544" t="s">
        <v>381</v>
      </c>
      <c r="G13" s="544" t="s">
        <v>355</v>
      </c>
      <c r="H13" s="544" t="s">
        <v>358</v>
      </c>
      <c r="I13" s="544"/>
      <c r="J13" s="544"/>
      <c r="K13" s="544"/>
      <c r="L13" s="544" t="s">
        <v>356</v>
      </c>
      <c r="M13" s="544" t="s">
        <v>382</v>
      </c>
    </row>
    <row r="14" spans="1:13" s="217" customFormat="1" ht="24" customHeight="1" x14ac:dyDescent="0.2">
      <c r="A14" s="544"/>
      <c r="B14" s="544"/>
      <c r="C14" s="544"/>
      <c r="D14" s="544"/>
      <c r="E14" s="549"/>
      <c r="F14" s="544"/>
      <c r="G14" s="544"/>
      <c r="H14" s="204" t="s">
        <v>26</v>
      </c>
      <c r="I14" s="204" t="s">
        <v>4</v>
      </c>
      <c r="J14" s="204" t="s">
        <v>5</v>
      </c>
      <c r="K14" s="204" t="s">
        <v>91</v>
      </c>
      <c r="L14" s="544"/>
      <c r="M14" s="544"/>
    </row>
    <row r="15" spans="1:13" s="217" customFormat="1" ht="12.75" x14ac:dyDescent="0.2">
      <c r="A15" s="233">
        <v>1</v>
      </c>
      <c r="B15" s="233">
        <v>2</v>
      </c>
      <c r="C15" s="233">
        <v>3</v>
      </c>
      <c r="D15" s="233">
        <v>4</v>
      </c>
      <c r="E15" s="233">
        <v>5</v>
      </c>
      <c r="F15" s="233">
        <v>6</v>
      </c>
      <c r="G15" s="233">
        <v>7</v>
      </c>
      <c r="H15" s="233">
        <v>8</v>
      </c>
      <c r="I15" s="233">
        <v>9</v>
      </c>
      <c r="J15" s="233">
        <v>10</v>
      </c>
      <c r="K15" s="233">
        <v>11</v>
      </c>
      <c r="L15" s="233">
        <v>12</v>
      </c>
      <c r="M15" s="233">
        <v>13</v>
      </c>
    </row>
    <row r="16" spans="1:13" ht="19.5" customHeight="1" x14ac:dyDescent="0.25">
      <c r="A16" s="235" t="s">
        <v>2</v>
      </c>
      <c r="B16" s="236" t="s">
        <v>413</v>
      </c>
      <c r="C16" s="232"/>
      <c r="D16" s="232"/>
      <c r="E16" s="232"/>
      <c r="F16" s="232"/>
      <c r="G16" s="237" t="s">
        <v>11</v>
      </c>
      <c r="H16" s="214">
        <f>H17</f>
        <v>0</v>
      </c>
      <c r="I16" s="214">
        <f t="shared" ref="I16:K16" si="0">I17</f>
        <v>0</v>
      </c>
      <c r="J16" s="214">
        <f t="shared" si="0"/>
        <v>150000</v>
      </c>
      <c r="K16" s="214">
        <f t="shared" si="0"/>
        <v>0</v>
      </c>
      <c r="L16" s="237"/>
      <c r="M16" s="541"/>
    </row>
    <row r="17" spans="1:13" ht="81" customHeight="1" x14ac:dyDescent="0.25">
      <c r="A17" s="235"/>
      <c r="B17" s="236" t="s">
        <v>412</v>
      </c>
      <c r="C17" s="234"/>
      <c r="D17" s="237"/>
      <c r="E17" s="237"/>
      <c r="F17" s="237"/>
      <c r="G17" s="237" t="s">
        <v>55</v>
      </c>
      <c r="H17" s="214">
        <v>0</v>
      </c>
      <c r="I17" s="214">
        <v>0</v>
      </c>
      <c r="J17" s="214">
        <f>'Прил 7 Перечень мероприятий'!H64</f>
        <v>150000</v>
      </c>
      <c r="K17" s="214">
        <v>0</v>
      </c>
      <c r="L17" s="237"/>
      <c r="M17" s="542"/>
    </row>
    <row r="18" spans="1:13" x14ac:dyDescent="0.25">
      <c r="A18" s="215"/>
      <c r="B18" s="237" t="s">
        <v>377</v>
      </c>
      <c r="C18" s="215"/>
      <c r="D18" s="215"/>
      <c r="E18" s="215"/>
      <c r="F18" s="215"/>
      <c r="G18" s="215"/>
      <c r="H18" s="216">
        <f>H16</f>
        <v>0</v>
      </c>
      <c r="I18" s="216">
        <f t="shared" ref="I18:K18" si="1">I16</f>
        <v>0</v>
      </c>
      <c r="J18" s="216">
        <f t="shared" si="1"/>
        <v>150000</v>
      </c>
      <c r="K18" s="216">
        <f t="shared" si="1"/>
        <v>0</v>
      </c>
      <c r="L18" s="215"/>
      <c r="M18" s="543"/>
    </row>
  </sheetData>
  <mergeCells count="18">
    <mergeCell ref="M13:M14"/>
    <mergeCell ref="M16:M18"/>
    <mergeCell ref="A7:M7"/>
    <mergeCell ref="A13:A14"/>
    <mergeCell ref="B13:B14"/>
    <mergeCell ref="C13:C14"/>
    <mergeCell ref="D13:D14"/>
    <mergeCell ref="E13:E14"/>
    <mergeCell ref="F13:F14"/>
    <mergeCell ref="G13:G14"/>
    <mergeCell ref="H13:K13"/>
    <mergeCell ref="L13:L14"/>
    <mergeCell ref="A6:M6"/>
    <mergeCell ref="A1:M1"/>
    <mergeCell ref="A2:M2"/>
    <mergeCell ref="A3:J3"/>
    <mergeCell ref="A4:M4"/>
    <mergeCell ref="A5:M5"/>
  </mergeCells>
  <pageMargins left="0.51181102362204722" right="0.51181102362204722" top="0.74803149606299213" bottom="0.74803149606299213" header="0.31496062992125984" footer="0.31496062992125984"/>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I25" sqref="I25"/>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3.425781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539" t="s">
        <v>417</v>
      </c>
      <c r="B1" s="539"/>
      <c r="C1" s="539"/>
      <c r="D1" s="539"/>
      <c r="E1" s="539"/>
      <c r="F1" s="539"/>
      <c r="G1" s="539"/>
      <c r="H1" s="539"/>
      <c r="I1" s="539"/>
      <c r="J1" s="539"/>
      <c r="K1" s="539"/>
      <c r="L1" s="539"/>
      <c r="M1" s="539"/>
    </row>
    <row r="2" spans="1:13" x14ac:dyDescent="0.25">
      <c r="A2" s="539" t="s">
        <v>366</v>
      </c>
      <c r="B2" s="539"/>
      <c r="C2" s="539"/>
      <c r="D2" s="539"/>
      <c r="E2" s="539"/>
      <c r="F2" s="539"/>
      <c r="G2" s="539"/>
      <c r="H2" s="539"/>
      <c r="I2" s="539"/>
      <c r="J2" s="539"/>
      <c r="K2" s="539"/>
      <c r="L2" s="539"/>
      <c r="M2" s="539"/>
    </row>
    <row r="3" spans="1:13" x14ac:dyDescent="0.25">
      <c r="A3" s="539"/>
      <c r="B3" s="539"/>
      <c r="C3" s="539"/>
      <c r="D3" s="539"/>
      <c r="E3" s="539"/>
      <c r="F3" s="539"/>
      <c r="G3" s="539"/>
      <c r="H3" s="539"/>
      <c r="I3" s="539"/>
      <c r="J3" s="539"/>
    </row>
    <row r="4" spans="1:13" ht="33.75" customHeight="1" x14ac:dyDescent="0.25">
      <c r="A4" s="538" t="s">
        <v>411</v>
      </c>
      <c r="B4" s="538"/>
      <c r="C4" s="538"/>
      <c r="D4" s="538"/>
      <c r="E4" s="538"/>
      <c r="F4" s="538"/>
      <c r="G4" s="538"/>
      <c r="H4" s="538"/>
      <c r="I4" s="538"/>
      <c r="J4" s="538"/>
      <c r="K4" s="538"/>
      <c r="L4" s="538"/>
      <c r="M4" s="538"/>
    </row>
    <row r="5" spans="1:13" ht="35.25" customHeight="1" x14ac:dyDescent="0.25">
      <c r="A5" s="538" t="s">
        <v>437</v>
      </c>
      <c r="B5" s="538"/>
      <c r="C5" s="538"/>
      <c r="D5" s="538"/>
      <c r="E5" s="538"/>
      <c r="F5" s="538"/>
      <c r="G5" s="538"/>
      <c r="H5" s="538"/>
      <c r="I5" s="538"/>
      <c r="J5" s="538"/>
      <c r="K5" s="538"/>
      <c r="L5" s="538"/>
      <c r="M5" s="538"/>
    </row>
    <row r="6" spans="1:13" ht="24.75" customHeight="1" x14ac:dyDescent="0.25">
      <c r="A6" s="540" t="s">
        <v>367</v>
      </c>
      <c r="B6" s="540"/>
      <c r="C6" s="540"/>
      <c r="D6" s="540"/>
      <c r="E6" s="540"/>
      <c r="F6" s="540"/>
      <c r="G6" s="540"/>
      <c r="H6" s="540"/>
      <c r="I6" s="540"/>
      <c r="J6" s="540"/>
      <c r="K6" s="540"/>
      <c r="L6" s="540"/>
      <c r="M6" s="540"/>
    </row>
    <row r="7" spans="1:13" ht="34.5" customHeight="1" x14ac:dyDescent="0.25">
      <c r="A7" s="538" t="s">
        <v>368</v>
      </c>
      <c r="B7" s="538"/>
      <c r="C7" s="538"/>
      <c r="D7" s="538"/>
      <c r="E7" s="538"/>
      <c r="F7" s="538"/>
      <c r="G7" s="538"/>
      <c r="H7" s="538"/>
      <c r="I7" s="538"/>
      <c r="J7" s="538"/>
      <c r="K7" s="538"/>
      <c r="L7" s="538"/>
      <c r="M7" s="538"/>
    </row>
    <row r="8" spans="1:13" x14ac:dyDescent="0.25">
      <c r="A8" s="264"/>
    </row>
    <row r="9" spans="1:13" ht="18" customHeight="1" x14ac:dyDescent="0.25">
      <c r="A9" s="203" t="s">
        <v>448</v>
      </c>
    </row>
    <row r="10" spans="1:13" ht="7.5" customHeight="1" x14ac:dyDescent="0.25">
      <c r="A10" s="203"/>
    </row>
    <row r="11" spans="1:13" ht="17.25" customHeight="1" x14ac:dyDescent="0.25">
      <c r="A11" s="203" t="s">
        <v>449</v>
      </c>
    </row>
    <row r="12" spans="1:13" ht="11.25" customHeight="1" x14ac:dyDescent="0.25">
      <c r="A12" s="203"/>
    </row>
    <row r="13" spans="1:13" s="217" customFormat="1" ht="85.5" customHeight="1" x14ac:dyDescent="0.2">
      <c r="A13" s="544" t="s">
        <v>353</v>
      </c>
      <c r="B13" s="544" t="s">
        <v>378</v>
      </c>
      <c r="C13" s="544" t="s">
        <v>379</v>
      </c>
      <c r="D13" s="544" t="s">
        <v>380</v>
      </c>
      <c r="E13" s="548" t="s">
        <v>354</v>
      </c>
      <c r="F13" s="544" t="s">
        <v>381</v>
      </c>
      <c r="G13" s="544" t="s">
        <v>355</v>
      </c>
      <c r="H13" s="544" t="s">
        <v>358</v>
      </c>
      <c r="I13" s="544"/>
      <c r="J13" s="544"/>
      <c r="K13" s="544"/>
      <c r="L13" s="544" t="s">
        <v>356</v>
      </c>
      <c r="M13" s="544" t="s">
        <v>382</v>
      </c>
    </row>
    <row r="14" spans="1:13" s="217" customFormat="1" ht="24" customHeight="1" x14ac:dyDescent="0.2">
      <c r="A14" s="544"/>
      <c r="B14" s="544"/>
      <c r="C14" s="544"/>
      <c r="D14" s="544"/>
      <c r="E14" s="549"/>
      <c r="F14" s="544"/>
      <c r="G14" s="544"/>
      <c r="H14" s="204" t="s">
        <v>26</v>
      </c>
      <c r="I14" s="204" t="s">
        <v>4</v>
      </c>
      <c r="J14" s="204" t="s">
        <v>5</v>
      </c>
      <c r="K14" s="204" t="s">
        <v>91</v>
      </c>
      <c r="L14" s="544"/>
      <c r="M14" s="544"/>
    </row>
    <row r="15" spans="1:13" s="217" customFormat="1" ht="12.75" x14ac:dyDescent="0.2">
      <c r="A15" s="266">
        <v>1</v>
      </c>
      <c r="B15" s="266">
        <v>2</v>
      </c>
      <c r="C15" s="266">
        <v>3</v>
      </c>
      <c r="D15" s="266">
        <v>4</v>
      </c>
      <c r="E15" s="266">
        <v>5</v>
      </c>
      <c r="F15" s="266">
        <v>6</v>
      </c>
      <c r="G15" s="266">
        <v>7</v>
      </c>
      <c r="H15" s="266">
        <v>8</v>
      </c>
      <c r="I15" s="266">
        <v>9</v>
      </c>
      <c r="J15" s="266">
        <v>10</v>
      </c>
      <c r="K15" s="266">
        <v>11</v>
      </c>
      <c r="L15" s="266">
        <v>12</v>
      </c>
      <c r="M15" s="266">
        <v>13</v>
      </c>
    </row>
    <row r="16" spans="1:13" ht="19.5" customHeight="1" x14ac:dyDescent="0.25">
      <c r="A16" s="267" t="s">
        <v>2</v>
      </c>
      <c r="B16" s="268" t="s">
        <v>374</v>
      </c>
      <c r="C16" s="265"/>
      <c r="D16" s="265"/>
      <c r="E16" s="265"/>
      <c r="F16" s="265"/>
      <c r="G16" s="269" t="s">
        <v>11</v>
      </c>
      <c r="H16" s="214">
        <f>SUM(I16:K16)</f>
        <v>7939.2</v>
      </c>
      <c r="I16" s="214">
        <f t="shared" ref="I16:K16" si="0">I17</f>
        <v>0</v>
      </c>
      <c r="J16" s="214">
        <f t="shared" si="0"/>
        <v>0</v>
      </c>
      <c r="K16" s="214">
        <f t="shared" si="0"/>
        <v>7939.2</v>
      </c>
      <c r="L16" s="269"/>
      <c r="M16" s="544" t="s">
        <v>435</v>
      </c>
    </row>
    <row r="17" spans="1:13" ht="64.5" customHeight="1" x14ac:dyDescent="0.25">
      <c r="A17" s="545"/>
      <c r="B17" s="546" t="s">
        <v>433</v>
      </c>
      <c r="C17" s="542" t="str">
        <f>K14</f>
        <v>2020 год</v>
      </c>
      <c r="D17" s="547" t="s">
        <v>434</v>
      </c>
      <c r="E17" s="547"/>
      <c r="F17" s="541">
        <v>0</v>
      </c>
      <c r="G17" s="269" t="s">
        <v>12</v>
      </c>
      <c r="H17" s="214">
        <f>SUM(I17:K17)</f>
        <v>7939.2</v>
      </c>
      <c r="I17" s="214">
        <v>0</v>
      </c>
      <c r="J17" s="214">
        <v>0</v>
      </c>
      <c r="K17" s="214">
        <f>'Прил 7 Перечень мероприятий'!I69</f>
        <v>7939.2</v>
      </c>
      <c r="L17" s="269"/>
      <c r="M17" s="544"/>
    </row>
    <row r="18" spans="1:13" ht="32.25" customHeight="1" x14ac:dyDescent="0.25">
      <c r="A18" s="545"/>
      <c r="B18" s="546"/>
      <c r="C18" s="543"/>
      <c r="D18" s="547"/>
      <c r="E18" s="547"/>
      <c r="F18" s="543"/>
      <c r="G18" s="269" t="s">
        <v>375</v>
      </c>
      <c r="H18" s="214">
        <v>0</v>
      </c>
      <c r="I18" s="214">
        <v>0</v>
      </c>
      <c r="J18" s="214">
        <v>0</v>
      </c>
      <c r="K18" s="214">
        <v>0</v>
      </c>
      <c r="L18" s="269"/>
      <c r="M18" s="544"/>
    </row>
    <row r="19" spans="1:13" x14ac:dyDescent="0.25">
      <c r="A19" s="215"/>
      <c r="B19" s="269" t="s">
        <v>377</v>
      </c>
      <c r="C19" s="215"/>
      <c r="D19" s="215"/>
      <c r="E19" s="215"/>
      <c r="F19" s="215"/>
      <c r="G19" s="215"/>
      <c r="H19" s="216">
        <f>SUM(I19:K19)</f>
        <v>7939.2</v>
      </c>
      <c r="I19" s="216">
        <f t="shared" ref="I19:K19" si="1">I16</f>
        <v>0</v>
      </c>
      <c r="J19" s="216">
        <f t="shared" si="1"/>
        <v>0</v>
      </c>
      <c r="K19" s="216">
        <f t="shared" si="1"/>
        <v>7939.2</v>
      </c>
      <c r="L19" s="215"/>
      <c r="M19" s="544"/>
    </row>
  </sheetData>
  <mergeCells count="24">
    <mergeCell ref="F17:F18"/>
    <mergeCell ref="M16:M19"/>
    <mergeCell ref="A17:A18"/>
    <mergeCell ref="B17:B18"/>
    <mergeCell ref="C17:C18"/>
    <mergeCell ref="D17:D18"/>
    <mergeCell ref="E17:E18"/>
    <mergeCell ref="A7:M7"/>
    <mergeCell ref="A13:A14"/>
    <mergeCell ref="B13:B14"/>
    <mergeCell ref="C13:C14"/>
    <mergeCell ref="D13:D14"/>
    <mergeCell ref="E13:E14"/>
    <mergeCell ref="F13:F14"/>
    <mergeCell ref="G13:G14"/>
    <mergeCell ref="H13:K13"/>
    <mergeCell ref="L13:L14"/>
    <mergeCell ref="M13:M14"/>
    <mergeCell ref="A6:M6"/>
    <mergeCell ref="A1:M1"/>
    <mergeCell ref="A2:M2"/>
    <mergeCell ref="A3:J3"/>
    <mergeCell ref="A4:M4"/>
    <mergeCell ref="A5:M5"/>
  </mergeCells>
  <pageMargins left="0.51181102362204722" right="0.5118110236220472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6"/>
  <sheetViews>
    <sheetView zoomScale="110" zoomScaleNormal="110" workbookViewId="0">
      <selection activeCell="F15" sqref="F15"/>
    </sheetView>
  </sheetViews>
  <sheetFormatPr defaultRowHeight="14.25" x14ac:dyDescent="0.2"/>
  <cols>
    <col min="1" max="1" width="37.28515625" style="3" customWidth="1"/>
    <col min="2" max="2" width="15" style="3" customWidth="1"/>
    <col min="3" max="3" width="9.140625" style="3"/>
    <col min="4" max="4" width="17.5703125" style="3" customWidth="1"/>
    <col min="5" max="5" width="11.7109375" style="3" customWidth="1"/>
    <col min="6" max="7" width="11" style="3" customWidth="1"/>
    <col min="8" max="8" width="10.140625" style="3" customWidth="1"/>
    <col min="9" max="9" width="10.5703125" style="3" customWidth="1"/>
    <col min="10" max="10" width="11" style="3" customWidth="1"/>
    <col min="11" max="16384" width="9.140625" style="3"/>
  </cols>
  <sheetData>
    <row r="1" spans="1:11" ht="18" customHeight="1" x14ac:dyDescent="0.2">
      <c r="A1" s="310" t="s">
        <v>6</v>
      </c>
      <c r="B1" s="310"/>
      <c r="C1" s="310"/>
      <c r="D1" s="310"/>
      <c r="E1" s="310"/>
      <c r="F1" s="310"/>
      <c r="G1" s="310"/>
      <c r="H1" s="310"/>
      <c r="I1" s="310"/>
      <c r="J1" s="310"/>
    </row>
    <row r="2" spans="1:11" x14ac:dyDescent="0.2">
      <c r="A2" s="311" t="s">
        <v>110</v>
      </c>
      <c r="B2" s="311"/>
      <c r="C2" s="311"/>
      <c r="D2" s="311"/>
      <c r="E2" s="311"/>
      <c r="F2" s="311"/>
      <c r="G2" s="311"/>
      <c r="H2" s="311"/>
      <c r="I2" s="311"/>
      <c r="J2" s="311"/>
      <c r="K2" s="8"/>
    </row>
    <row r="3" spans="1:11" x14ac:dyDescent="0.2">
      <c r="A3" s="310" t="s">
        <v>117</v>
      </c>
      <c r="B3" s="310"/>
      <c r="C3" s="310"/>
      <c r="D3" s="310"/>
      <c r="E3" s="310"/>
      <c r="F3" s="310"/>
      <c r="G3" s="310"/>
      <c r="H3" s="310"/>
      <c r="I3" s="310"/>
      <c r="J3" s="310"/>
      <c r="K3" s="8"/>
    </row>
    <row r="4" spans="1:11" x14ac:dyDescent="0.2">
      <c r="A4" s="9"/>
    </row>
    <row r="5" spans="1:11" ht="21" customHeight="1" x14ac:dyDescent="0.2">
      <c r="A5" s="322" t="s">
        <v>64</v>
      </c>
      <c r="B5" s="322"/>
      <c r="C5" s="322"/>
      <c r="D5" s="322"/>
      <c r="E5" s="322"/>
      <c r="F5" s="322"/>
      <c r="G5" s="322"/>
      <c r="H5" s="322"/>
      <c r="I5" s="322"/>
      <c r="J5" s="322"/>
    </row>
    <row r="6" spans="1:11" ht="26.25" customHeight="1" x14ac:dyDescent="0.2">
      <c r="A6" s="323" t="s">
        <v>175</v>
      </c>
      <c r="B6" s="322"/>
      <c r="C6" s="322"/>
      <c r="D6" s="322"/>
      <c r="E6" s="322"/>
      <c r="F6" s="322"/>
      <c r="G6" s="322"/>
      <c r="H6" s="322"/>
      <c r="I6" s="322"/>
      <c r="J6" s="322"/>
    </row>
    <row r="7" spans="1:11" ht="38.25" customHeight="1" x14ac:dyDescent="0.2">
      <c r="A7" s="63" t="s">
        <v>7</v>
      </c>
      <c r="B7" s="318" t="s">
        <v>435</v>
      </c>
      <c r="C7" s="318"/>
      <c r="D7" s="318"/>
      <c r="E7" s="318"/>
      <c r="F7" s="318"/>
      <c r="G7" s="318"/>
      <c r="H7" s="318"/>
      <c r="I7" s="318"/>
      <c r="J7" s="319"/>
    </row>
    <row r="8" spans="1:11" ht="27.75" customHeight="1" x14ac:dyDescent="0.2">
      <c r="A8" s="315" t="s">
        <v>57</v>
      </c>
      <c r="B8" s="320" t="s">
        <v>13</v>
      </c>
      <c r="C8" s="320" t="s">
        <v>14</v>
      </c>
      <c r="D8" s="320"/>
      <c r="E8" s="321" t="s">
        <v>8</v>
      </c>
      <c r="F8" s="321"/>
      <c r="G8" s="321"/>
      <c r="H8" s="321"/>
      <c r="I8" s="321"/>
      <c r="J8" s="321"/>
    </row>
    <row r="9" spans="1:11" ht="27.75" customHeight="1" x14ac:dyDescent="0.2">
      <c r="A9" s="316"/>
      <c r="B9" s="320"/>
      <c r="C9" s="320"/>
      <c r="D9" s="320"/>
      <c r="E9" s="49" t="s">
        <v>9</v>
      </c>
      <c r="F9" s="49" t="s">
        <v>10</v>
      </c>
      <c r="G9" s="49" t="s">
        <v>94</v>
      </c>
      <c r="H9" s="49" t="s">
        <v>95</v>
      </c>
      <c r="I9" s="49" t="s">
        <v>96</v>
      </c>
      <c r="J9" s="49" t="s">
        <v>11</v>
      </c>
    </row>
    <row r="10" spans="1:11" ht="32.25" customHeight="1" x14ac:dyDescent="0.2">
      <c r="A10" s="316"/>
      <c r="B10" s="327" t="s">
        <v>435</v>
      </c>
      <c r="C10" s="324" t="s">
        <v>119</v>
      </c>
      <c r="D10" s="324"/>
      <c r="E10" s="55">
        <f t="shared" ref="E10:I10" si="0">E11+E12+E13</f>
        <v>94786.490819999992</v>
      </c>
      <c r="F10" s="55">
        <f t="shared" si="0"/>
        <v>214015.04842000001</v>
      </c>
      <c r="G10" s="55">
        <f t="shared" si="0"/>
        <v>71657.5</v>
      </c>
      <c r="H10" s="55">
        <f t="shared" si="0"/>
        <v>63835.6</v>
      </c>
      <c r="I10" s="55">
        <f t="shared" si="0"/>
        <v>63835.6</v>
      </c>
      <c r="J10" s="55">
        <f>SUM(E10:I10)</f>
        <v>508130.23923999997</v>
      </c>
    </row>
    <row r="11" spans="1:11" ht="42" customHeight="1" x14ac:dyDescent="0.2">
      <c r="A11" s="316"/>
      <c r="B11" s="327"/>
      <c r="C11" s="325" t="s">
        <v>77</v>
      </c>
      <c r="D11" s="326"/>
      <c r="E11" s="55">
        <f>'Прил 7 Перечень мероприятий'!G13+'Прил 7 Перечень мероприятий'!G47</f>
        <v>68362.120819999996</v>
      </c>
      <c r="F11" s="55">
        <f>'Прил 7 Перечень мероприятий'!H13+'Прил 7 Перечень мероприятий'!H47</f>
        <v>64015.048420000006</v>
      </c>
      <c r="G11" s="55">
        <f>'Прил 7 Перечень мероприятий'!I13+'Прил 7 Перечень мероприятий'!I47</f>
        <v>63718.299999999996</v>
      </c>
      <c r="H11" s="55">
        <f>'Прил 7 Перечень мероприятий'!J13+'Прил 7 Перечень мероприятий'!J47</f>
        <v>63835.6</v>
      </c>
      <c r="I11" s="55">
        <f>'Прил 7 Перечень мероприятий'!K13+'Прил 7 Перечень мероприятий'!K47</f>
        <v>63835.6</v>
      </c>
      <c r="J11" s="55">
        <f>SUM(E11:I11)</f>
        <v>323766.66924000002</v>
      </c>
    </row>
    <row r="12" spans="1:11" ht="53.25" customHeight="1" x14ac:dyDescent="0.2">
      <c r="A12" s="316"/>
      <c r="B12" s="327"/>
      <c r="C12" s="324" t="s">
        <v>12</v>
      </c>
      <c r="D12" s="324"/>
      <c r="E12" s="55">
        <f>'Прил 7 Перечень мероприятий'!G73</f>
        <v>26424.37</v>
      </c>
      <c r="F12" s="55">
        <f>'Прил 7 Перечень мероприятий'!H73</f>
        <v>0</v>
      </c>
      <c r="G12" s="55">
        <f>'Прил 7 Перечень мероприятий'!I73</f>
        <v>7939.2</v>
      </c>
      <c r="H12" s="55">
        <f>'Прил 7 Перечень мероприятий'!J73</f>
        <v>0</v>
      </c>
      <c r="I12" s="55">
        <f>'Прил 7 Перечень мероприятий'!K73</f>
        <v>0</v>
      </c>
      <c r="J12" s="55">
        <f t="shared" ref="J12:J13" si="1">SUM(E12:I12)</f>
        <v>34363.57</v>
      </c>
    </row>
    <row r="13" spans="1:11" ht="42" customHeight="1" x14ac:dyDescent="0.2">
      <c r="A13" s="317"/>
      <c r="B13" s="327"/>
      <c r="C13" s="324" t="s">
        <v>55</v>
      </c>
      <c r="D13" s="324"/>
      <c r="E13" s="55">
        <v>0</v>
      </c>
      <c r="F13" s="55">
        <f>'Прил 7 Перечень мероприятий'!H74</f>
        <v>150000</v>
      </c>
      <c r="G13" s="55">
        <v>0</v>
      </c>
      <c r="H13" s="55">
        <v>0</v>
      </c>
      <c r="I13" s="55">
        <v>0</v>
      </c>
      <c r="J13" s="55">
        <f t="shared" si="1"/>
        <v>150000</v>
      </c>
    </row>
    <row r="14" spans="1:11" x14ac:dyDescent="0.2">
      <c r="A14" s="6"/>
    </row>
    <row r="15" spans="1:11" x14ac:dyDescent="0.2">
      <c r="A15" s="9"/>
    </row>
    <row r="16" spans="1:11" x14ac:dyDescent="0.2">
      <c r="F16" s="18"/>
      <c r="G16" s="18"/>
      <c r="H16" s="18"/>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B11" sqref="B11:B14"/>
    </sheetView>
  </sheetViews>
  <sheetFormatPr defaultRowHeight="14.25" x14ac:dyDescent="0.2"/>
  <cols>
    <col min="1" max="1" width="37.7109375" style="11" customWidth="1"/>
    <col min="2" max="2" width="15.85546875" style="11" customWidth="1"/>
    <col min="3" max="3" width="9.140625" style="11"/>
    <col min="4" max="4" width="16"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311" t="s">
        <v>16</v>
      </c>
      <c r="B1" s="311"/>
      <c r="C1" s="311"/>
      <c r="D1" s="311"/>
      <c r="E1" s="311"/>
      <c r="F1" s="311"/>
      <c r="G1" s="311"/>
      <c r="H1" s="311"/>
      <c r="I1" s="311"/>
      <c r="J1" s="311"/>
    </row>
    <row r="2" spans="1:11" x14ac:dyDescent="0.2">
      <c r="A2" s="311" t="s">
        <v>110</v>
      </c>
      <c r="B2" s="311"/>
      <c r="C2" s="311"/>
      <c r="D2" s="311"/>
      <c r="E2" s="311"/>
      <c r="F2" s="311"/>
      <c r="G2" s="311"/>
      <c r="H2" s="311"/>
      <c r="I2" s="311"/>
      <c r="J2" s="311"/>
      <c r="K2" s="12"/>
    </row>
    <row r="3" spans="1:11" ht="15" x14ac:dyDescent="0.2">
      <c r="A3" s="311" t="s">
        <v>118</v>
      </c>
      <c r="B3" s="311"/>
      <c r="C3" s="311"/>
      <c r="D3" s="311"/>
      <c r="E3" s="311"/>
      <c r="F3" s="311"/>
      <c r="G3" s="311"/>
      <c r="H3" s="311"/>
      <c r="I3" s="311"/>
      <c r="J3" s="311"/>
      <c r="K3" s="12"/>
    </row>
    <row r="4" spans="1:11" x14ac:dyDescent="0.2">
      <c r="A4" s="43"/>
    </row>
    <row r="5" spans="1:11" x14ac:dyDescent="0.2">
      <c r="A5" s="332" t="s">
        <v>80</v>
      </c>
      <c r="B5" s="332"/>
      <c r="C5" s="332"/>
      <c r="D5" s="332"/>
      <c r="E5" s="332"/>
      <c r="F5" s="332"/>
      <c r="G5" s="332"/>
      <c r="H5" s="332"/>
      <c r="I5" s="332"/>
      <c r="J5" s="332"/>
    </row>
    <row r="6" spans="1:11" x14ac:dyDescent="0.2">
      <c r="A6" s="333" t="s">
        <v>79</v>
      </c>
      <c r="B6" s="333"/>
      <c r="C6" s="333"/>
      <c r="D6" s="333"/>
      <c r="E6" s="333"/>
      <c r="F6" s="333"/>
      <c r="G6" s="333"/>
      <c r="H6" s="333"/>
      <c r="I6" s="333"/>
      <c r="J6" s="333"/>
    </row>
    <row r="7" spans="1:11" x14ac:dyDescent="0.2">
      <c r="A7" s="14"/>
    </row>
    <row r="8" spans="1:11" s="3" customFormat="1" ht="38.25" customHeight="1" x14ac:dyDescent="0.2">
      <c r="A8" s="63" t="s">
        <v>7</v>
      </c>
      <c r="B8" s="328" t="s">
        <v>435</v>
      </c>
      <c r="C8" s="328"/>
      <c r="D8" s="328"/>
      <c r="E8" s="328"/>
      <c r="F8" s="328"/>
      <c r="G8" s="328"/>
      <c r="H8" s="328"/>
      <c r="I8" s="328"/>
      <c r="J8" s="329"/>
    </row>
    <row r="9" spans="1:11" s="3" customFormat="1" ht="27.75" customHeight="1" x14ac:dyDescent="0.2">
      <c r="A9" s="330" t="s">
        <v>57</v>
      </c>
      <c r="B9" s="320" t="s">
        <v>13</v>
      </c>
      <c r="C9" s="331" t="s">
        <v>14</v>
      </c>
      <c r="D9" s="331"/>
      <c r="E9" s="321" t="s">
        <v>8</v>
      </c>
      <c r="F9" s="321"/>
      <c r="G9" s="321"/>
      <c r="H9" s="321"/>
      <c r="I9" s="321"/>
      <c r="J9" s="321"/>
    </row>
    <row r="10" spans="1:11" s="3" customFormat="1" ht="24" customHeight="1" x14ac:dyDescent="0.2">
      <c r="A10" s="330"/>
      <c r="B10" s="320"/>
      <c r="C10" s="331"/>
      <c r="D10" s="331"/>
      <c r="E10" s="42" t="s">
        <v>9</v>
      </c>
      <c r="F10" s="42" t="s">
        <v>10</v>
      </c>
      <c r="G10" s="42" t="s">
        <v>94</v>
      </c>
      <c r="H10" s="42" t="s">
        <v>95</v>
      </c>
      <c r="I10" s="42" t="s">
        <v>96</v>
      </c>
      <c r="J10" s="42" t="s">
        <v>11</v>
      </c>
    </row>
    <row r="11" spans="1:11" s="3" customFormat="1" ht="34.5" customHeight="1" x14ac:dyDescent="0.2">
      <c r="A11" s="330"/>
      <c r="B11" s="327" t="s">
        <v>435</v>
      </c>
      <c r="C11" s="324" t="s">
        <v>120</v>
      </c>
      <c r="D11" s="324"/>
      <c r="E11" s="55">
        <f>SUM(E12:E14)</f>
        <v>37882.112949999995</v>
      </c>
      <c r="F11" s="55">
        <f t="shared" ref="F11:I11" si="0">SUM(F12:F14)</f>
        <v>35730.096270000002</v>
      </c>
      <c r="G11" s="55">
        <f t="shared" si="0"/>
        <v>34401.700000000004</v>
      </c>
      <c r="H11" s="55">
        <f t="shared" si="0"/>
        <v>34448.5</v>
      </c>
      <c r="I11" s="55">
        <f t="shared" si="0"/>
        <v>34448.5</v>
      </c>
      <c r="J11" s="55">
        <f>SUM(J12:J14)</f>
        <v>176910.90922</v>
      </c>
    </row>
    <row r="12" spans="1:11" s="3" customFormat="1" ht="39.75" customHeight="1" x14ac:dyDescent="0.2">
      <c r="A12" s="330"/>
      <c r="B12" s="327"/>
      <c r="C12" s="324" t="s">
        <v>77</v>
      </c>
      <c r="D12" s="324"/>
      <c r="E12" s="55">
        <f>'Прил 7 Перечень мероприятий'!G118</f>
        <v>37882.112949999995</v>
      </c>
      <c r="F12" s="55">
        <f>'Прил 7 Перечень мероприятий'!H118</f>
        <v>35730.096270000002</v>
      </c>
      <c r="G12" s="55">
        <f>'Прил 7 Перечень мероприятий'!I118</f>
        <v>34401.700000000004</v>
      </c>
      <c r="H12" s="55">
        <f>'Прил 7 Перечень мероприятий'!J118</f>
        <v>34448.5</v>
      </c>
      <c r="I12" s="55">
        <f>'Прил 7 Перечень мероприятий'!K118</f>
        <v>34448.5</v>
      </c>
      <c r="J12" s="55">
        <f>SUM(E12:I12)</f>
        <v>176910.90922</v>
      </c>
    </row>
    <row r="13" spans="1:11" s="3" customFormat="1" ht="49.5" customHeight="1" x14ac:dyDescent="0.2">
      <c r="A13" s="330"/>
      <c r="B13" s="327"/>
      <c r="C13" s="324" t="s">
        <v>12</v>
      </c>
      <c r="D13" s="324"/>
      <c r="E13" s="55">
        <v>0</v>
      </c>
      <c r="F13" s="55">
        <v>0</v>
      </c>
      <c r="G13" s="55">
        <v>0</v>
      </c>
      <c r="H13" s="55">
        <v>0</v>
      </c>
      <c r="I13" s="55">
        <v>0</v>
      </c>
      <c r="J13" s="55">
        <f>SUM(E13:I13)</f>
        <v>0</v>
      </c>
    </row>
    <row r="14" spans="1:11" s="3" customFormat="1" ht="43.5" customHeight="1" x14ac:dyDescent="0.2">
      <c r="A14" s="330"/>
      <c r="B14" s="327"/>
      <c r="C14" s="324" t="s">
        <v>55</v>
      </c>
      <c r="D14" s="324"/>
      <c r="E14" s="55">
        <v>0</v>
      </c>
      <c r="F14" s="55">
        <v>0</v>
      </c>
      <c r="G14" s="55">
        <v>0</v>
      </c>
      <c r="H14" s="55">
        <v>0</v>
      </c>
      <c r="I14" s="55">
        <v>0</v>
      </c>
      <c r="J14" s="55">
        <f>SUM(E14:I14)</f>
        <v>0</v>
      </c>
    </row>
    <row r="15" spans="1:11" x14ac:dyDescent="0.2">
      <c r="A15" s="16"/>
      <c r="B15" s="16"/>
      <c r="C15" s="16"/>
      <c r="D15" s="16"/>
      <c r="E15" s="16"/>
      <c r="F15" s="17"/>
      <c r="G15" s="17"/>
      <c r="H15" s="16"/>
      <c r="I15" s="16"/>
      <c r="J15" s="16"/>
    </row>
    <row r="16" spans="1:11" x14ac:dyDescent="0.2">
      <c r="A16" s="43"/>
      <c r="F16" s="125"/>
      <c r="G16" s="125"/>
      <c r="H16" s="125"/>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O9" sqref="O9"/>
    </sheetView>
  </sheetViews>
  <sheetFormatPr defaultRowHeight="14.25" x14ac:dyDescent="0.2"/>
  <cols>
    <col min="1" max="1" width="37.5703125" style="11" customWidth="1"/>
    <col min="2" max="2" width="15.5703125" style="11" customWidth="1"/>
    <col min="3" max="3" width="9.140625" style="11"/>
    <col min="4" max="4" width="16.140625"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311" t="s">
        <v>103</v>
      </c>
      <c r="B1" s="311"/>
      <c r="C1" s="311"/>
      <c r="D1" s="311"/>
      <c r="E1" s="311"/>
      <c r="F1" s="311"/>
      <c r="G1" s="311"/>
      <c r="H1" s="311"/>
      <c r="I1" s="311"/>
      <c r="J1" s="311"/>
    </row>
    <row r="2" spans="1:11" x14ac:dyDescent="0.2">
      <c r="A2" s="311" t="s">
        <v>110</v>
      </c>
      <c r="B2" s="311"/>
      <c r="C2" s="311"/>
      <c r="D2" s="311"/>
      <c r="E2" s="311"/>
      <c r="F2" s="311"/>
      <c r="G2" s="311"/>
      <c r="H2" s="311"/>
      <c r="I2" s="311"/>
      <c r="J2" s="311"/>
      <c r="K2" s="12"/>
    </row>
    <row r="3" spans="1:11" ht="15" x14ac:dyDescent="0.2">
      <c r="A3" s="311" t="s">
        <v>121</v>
      </c>
      <c r="B3" s="311"/>
      <c r="C3" s="311"/>
      <c r="D3" s="311"/>
      <c r="E3" s="311"/>
      <c r="F3" s="311"/>
      <c r="G3" s="311"/>
      <c r="H3" s="311"/>
      <c r="I3" s="311"/>
      <c r="J3" s="311"/>
      <c r="K3" s="12"/>
    </row>
    <row r="4" spans="1:11" x14ac:dyDescent="0.2">
      <c r="A4" s="13"/>
    </row>
    <row r="5" spans="1:11" x14ac:dyDescent="0.2">
      <c r="A5" s="332" t="s">
        <v>104</v>
      </c>
      <c r="B5" s="332"/>
      <c r="C5" s="332"/>
      <c r="D5" s="332"/>
      <c r="E5" s="332"/>
      <c r="F5" s="332"/>
      <c r="G5" s="332"/>
      <c r="H5" s="332"/>
      <c r="I5" s="332"/>
      <c r="J5" s="332"/>
    </row>
    <row r="6" spans="1:11" x14ac:dyDescent="0.2">
      <c r="A6" s="333" t="s">
        <v>19</v>
      </c>
      <c r="B6" s="333"/>
      <c r="C6" s="333"/>
      <c r="D6" s="333"/>
      <c r="E6" s="333"/>
      <c r="F6" s="333"/>
      <c r="G6" s="333"/>
      <c r="H6" s="333"/>
      <c r="I6" s="333"/>
      <c r="J6" s="333"/>
    </row>
    <row r="7" spans="1:11" x14ac:dyDescent="0.2">
      <c r="A7" s="14"/>
    </row>
    <row r="8" spans="1:11" ht="38.25" customHeight="1" x14ac:dyDescent="0.2">
      <c r="A8" s="64" t="s">
        <v>7</v>
      </c>
      <c r="B8" s="334" t="s">
        <v>435</v>
      </c>
      <c r="C8" s="334"/>
      <c r="D8" s="334"/>
      <c r="E8" s="334"/>
      <c r="F8" s="334"/>
      <c r="G8" s="334"/>
      <c r="H8" s="334"/>
      <c r="I8" s="334"/>
      <c r="J8" s="335"/>
    </row>
    <row r="9" spans="1:11" ht="27.75" customHeight="1" x14ac:dyDescent="0.2">
      <c r="A9" s="337" t="s">
        <v>15</v>
      </c>
      <c r="B9" s="338" t="s">
        <v>13</v>
      </c>
      <c r="C9" s="339" t="s">
        <v>14</v>
      </c>
      <c r="D9" s="339"/>
      <c r="E9" s="340" t="s">
        <v>8</v>
      </c>
      <c r="F9" s="340"/>
      <c r="G9" s="340"/>
      <c r="H9" s="340"/>
      <c r="I9" s="340"/>
      <c r="J9" s="340"/>
    </row>
    <row r="10" spans="1:11" ht="31.5" hidden="1" customHeight="1" x14ac:dyDescent="0.2">
      <c r="A10" s="337"/>
      <c r="B10" s="338"/>
      <c r="C10" s="339"/>
      <c r="D10" s="339"/>
      <c r="E10" s="340"/>
      <c r="F10" s="340"/>
      <c r="G10" s="340"/>
      <c r="H10" s="340"/>
      <c r="I10" s="340"/>
      <c r="J10" s="340"/>
    </row>
    <row r="11" spans="1:11" ht="27.75" customHeight="1" x14ac:dyDescent="0.2">
      <c r="A11" s="337"/>
      <c r="B11" s="338"/>
      <c r="C11" s="339"/>
      <c r="D11" s="339"/>
      <c r="E11" s="15" t="s">
        <v>9</v>
      </c>
      <c r="F11" s="15" t="s">
        <v>10</v>
      </c>
      <c r="G11" s="15" t="s">
        <v>94</v>
      </c>
      <c r="H11" s="15" t="s">
        <v>95</v>
      </c>
      <c r="I11" s="15" t="s">
        <v>96</v>
      </c>
      <c r="J11" s="15" t="s">
        <v>11</v>
      </c>
    </row>
    <row r="12" spans="1:11" ht="46.5" customHeight="1" x14ac:dyDescent="0.2">
      <c r="A12" s="337"/>
      <c r="B12" s="338" t="s">
        <v>435</v>
      </c>
      <c r="C12" s="336" t="s">
        <v>122</v>
      </c>
      <c r="D12" s="336"/>
      <c r="E12" s="137">
        <f t="shared" ref="E12:J12" si="0">E13+E14+E15</f>
        <v>7117.8265600000004</v>
      </c>
      <c r="F12" s="137">
        <f t="shared" si="0"/>
        <v>7023.7054700000008</v>
      </c>
      <c r="G12" s="137">
        <f t="shared" si="0"/>
        <v>7776.8</v>
      </c>
      <c r="H12" s="137">
        <f t="shared" si="0"/>
        <v>7787.6</v>
      </c>
      <c r="I12" s="137">
        <f t="shared" si="0"/>
        <v>7787.6</v>
      </c>
      <c r="J12" s="137">
        <f t="shared" si="0"/>
        <v>37493.532030000002</v>
      </c>
    </row>
    <row r="13" spans="1:11" ht="46.5" customHeight="1" x14ac:dyDescent="0.2">
      <c r="A13" s="337"/>
      <c r="B13" s="338"/>
      <c r="C13" s="336" t="s">
        <v>77</v>
      </c>
      <c r="D13" s="336"/>
      <c r="E13" s="137">
        <f>'Прил 7 Перечень мероприятий'!G144</f>
        <v>7117.8265600000004</v>
      </c>
      <c r="F13" s="137">
        <f>'Прил 7 Перечень мероприятий'!H144</f>
        <v>7023.7054700000008</v>
      </c>
      <c r="G13" s="137">
        <f>'Прил 7 Перечень мероприятий'!I144</f>
        <v>7776.8</v>
      </c>
      <c r="H13" s="137">
        <f>'Прил 7 Перечень мероприятий'!J144</f>
        <v>7787.6</v>
      </c>
      <c r="I13" s="137">
        <f>'Прил 7 Перечень мероприятий'!K144</f>
        <v>7787.6</v>
      </c>
      <c r="J13" s="137">
        <f>E13+F13+G13+H13+I13</f>
        <v>37493.532030000002</v>
      </c>
    </row>
    <row r="14" spans="1:11" ht="45" customHeight="1" x14ac:dyDescent="0.2">
      <c r="A14" s="337"/>
      <c r="B14" s="338"/>
      <c r="C14" s="336" t="s">
        <v>12</v>
      </c>
      <c r="D14" s="336"/>
      <c r="E14" s="137">
        <v>0</v>
      </c>
      <c r="F14" s="137">
        <v>0</v>
      </c>
      <c r="G14" s="137">
        <v>0</v>
      </c>
      <c r="H14" s="137">
        <v>0</v>
      </c>
      <c r="I14" s="137">
        <v>0</v>
      </c>
      <c r="J14" s="137">
        <v>0</v>
      </c>
    </row>
    <row r="15" spans="1:11" ht="48.75" customHeight="1" x14ac:dyDescent="0.2">
      <c r="A15" s="337"/>
      <c r="B15" s="338"/>
      <c r="C15" s="336" t="s">
        <v>55</v>
      </c>
      <c r="D15" s="336"/>
      <c r="E15" s="137">
        <v>0</v>
      </c>
      <c r="F15" s="137">
        <v>0</v>
      </c>
      <c r="G15" s="137">
        <v>0</v>
      </c>
      <c r="H15" s="137">
        <v>0</v>
      </c>
      <c r="I15" s="137">
        <v>0</v>
      </c>
      <c r="J15" s="137">
        <v>0</v>
      </c>
    </row>
    <row r="16" spans="1:11" x14ac:dyDescent="0.2">
      <c r="A16" s="16"/>
      <c r="B16" s="16"/>
      <c r="C16" s="16"/>
      <c r="D16" s="16"/>
      <c r="E16" s="16"/>
      <c r="F16" s="17"/>
      <c r="G16" s="17"/>
      <c r="H16" s="16"/>
      <c r="I16" s="16"/>
      <c r="J16" s="16"/>
    </row>
    <row r="17" spans="1:8" x14ac:dyDescent="0.2">
      <c r="A17" s="13"/>
      <c r="F17" s="125"/>
      <c r="G17" s="125"/>
      <c r="H17" s="125"/>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7"/>
  <sheetViews>
    <sheetView view="pageBreakPreview" zoomScale="90" zoomScaleNormal="90" zoomScaleSheetLayoutView="90" workbookViewId="0">
      <pane xSplit="1" ySplit="9" topLeftCell="B31" activePane="bottomRight" state="frozen"/>
      <selection pane="topRight" activeCell="B1" sqref="B1"/>
      <selection pane="bottomLeft" activeCell="A10" sqref="A10"/>
      <selection pane="bottomRight" activeCell="B20" sqref="B20"/>
    </sheetView>
  </sheetViews>
  <sheetFormatPr defaultRowHeight="14.25" x14ac:dyDescent="0.2"/>
  <cols>
    <col min="1" max="1" width="5" style="48" customWidth="1"/>
    <col min="2" max="2" width="49.140625" style="3" customWidth="1"/>
    <col min="3" max="3" width="16.5703125" style="3" customWidth="1"/>
    <col min="4" max="4" width="12" style="3" customWidth="1"/>
    <col min="5" max="5" width="16" style="48" customWidth="1"/>
    <col min="6" max="10" width="13.140625" style="3" customWidth="1"/>
    <col min="11" max="11" width="16" style="3" customWidth="1"/>
    <col min="12" max="16384" width="9.140625" style="3"/>
  </cols>
  <sheetData>
    <row r="1" spans="1:12" x14ac:dyDescent="0.2">
      <c r="A1" s="310" t="s">
        <v>17</v>
      </c>
      <c r="B1" s="310"/>
      <c r="C1" s="310"/>
      <c r="D1" s="310"/>
      <c r="E1" s="310"/>
      <c r="F1" s="310"/>
      <c r="G1" s="310"/>
      <c r="H1" s="310"/>
      <c r="I1" s="310"/>
      <c r="J1" s="310"/>
      <c r="K1" s="310"/>
    </row>
    <row r="2" spans="1:12" x14ac:dyDescent="0.2">
      <c r="A2" s="310" t="s">
        <v>110</v>
      </c>
      <c r="B2" s="310"/>
      <c r="C2" s="310"/>
      <c r="D2" s="310"/>
      <c r="E2" s="310"/>
      <c r="F2" s="310"/>
      <c r="G2" s="310"/>
      <c r="H2" s="310"/>
      <c r="I2" s="310"/>
      <c r="J2" s="310"/>
      <c r="K2" s="310"/>
    </row>
    <row r="3" spans="1:12" x14ac:dyDescent="0.2">
      <c r="A3" s="310" t="s">
        <v>116</v>
      </c>
      <c r="B3" s="310"/>
      <c r="C3" s="310"/>
      <c r="D3" s="310"/>
      <c r="E3" s="310"/>
      <c r="F3" s="310"/>
      <c r="G3" s="310"/>
      <c r="H3" s="310"/>
      <c r="I3" s="310"/>
      <c r="J3" s="310"/>
      <c r="K3" s="310"/>
    </row>
    <row r="4" spans="1:12" ht="12" customHeight="1" x14ac:dyDescent="0.2">
      <c r="A4" s="116"/>
    </row>
    <row r="5" spans="1:12" x14ac:dyDescent="0.2">
      <c r="A5" s="322" t="s">
        <v>111</v>
      </c>
      <c r="B5" s="322"/>
      <c r="C5" s="322"/>
      <c r="D5" s="322"/>
      <c r="E5" s="322"/>
      <c r="F5" s="322"/>
      <c r="G5" s="322"/>
      <c r="H5" s="322"/>
      <c r="I5" s="322"/>
      <c r="J5" s="322"/>
      <c r="K5" s="322"/>
    </row>
    <row r="6" spans="1:12" x14ac:dyDescent="0.2">
      <c r="A6" s="322" t="s">
        <v>114</v>
      </c>
      <c r="B6" s="322"/>
      <c r="C6" s="322"/>
      <c r="D6" s="322"/>
      <c r="E6" s="322"/>
      <c r="F6" s="322"/>
      <c r="G6" s="322"/>
      <c r="H6" s="322"/>
      <c r="I6" s="322"/>
      <c r="J6" s="322"/>
      <c r="K6" s="322"/>
    </row>
    <row r="7" spans="1:12" ht="11.25" customHeight="1" x14ac:dyDescent="0.2">
      <c r="A7" s="109"/>
    </row>
    <row r="8" spans="1:12" ht="17.25" customHeight="1" x14ac:dyDescent="0.2">
      <c r="A8" s="321" t="s">
        <v>124</v>
      </c>
      <c r="B8" s="346" t="s">
        <v>125</v>
      </c>
      <c r="C8" s="346" t="s">
        <v>126</v>
      </c>
      <c r="D8" s="346" t="s">
        <v>1</v>
      </c>
      <c r="E8" s="321" t="s">
        <v>130</v>
      </c>
      <c r="F8" s="321" t="s">
        <v>129</v>
      </c>
      <c r="G8" s="321"/>
      <c r="H8" s="321"/>
      <c r="I8" s="321"/>
      <c r="J8" s="321"/>
      <c r="K8" s="321" t="s">
        <v>127</v>
      </c>
      <c r="L8" s="57"/>
    </row>
    <row r="9" spans="1:12" ht="87.75" customHeight="1" x14ac:dyDescent="0.2">
      <c r="A9" s="321"/>
      <c r="B9" s="347"/>
      <c r="C9" s="347"/>
      <c r="D9" s="347"/>
      <c r="E9" s="321"/>
      <c r="F9" s="115" t="s">
        <v>4</v>
      </c>
      <c r="G9" s="115" t="s">
        <v>5</v>
      </c>
      <c r="H9" s="115" t="s">
        <v>91</v>
      </c>
      <c r="I9" s="115" t="s">
        <v>92</v>
      </c>
      <c r="J9" s="115" t="s">
        <v>93</v>
      </c>
      <c r="K9" s="321"/>
      <c r="L9" s="6"/>
    </row>
    <row r="10" spans="1:12" x14ac:dyDescent="0.2">
      <c r="A10" s="110">
        <v>1</v>
      </c>
      <c r="B10" s="110">
        <v>2</v>
      </c>
      <c r="C10" s="110">
        <v>3</v>
      </c>
      <c r="D10" s="110">
        <v>4</v>
      </c>
      <c r="E10" s="110">
        <v>5</v>
      </c>
      <c r="F10" s="110">
        <v>6</v>
      </c>
      <c r="G10" s="110">
        <v>7</v>
      </c>
      <c r="H10" s="110">
        <v>8</v>
      </c>
      <c r="I10" s="110">
        <v>9</v>
      </c>
      <c r="J10" s="110">
        <v>10</v>
      </c>
      <c r="K10" s="110">
        <v>11</v>
      </c>
      <c r="L10" s="6"/>
    </row>
    <row r="11" spans="1:12" ht="23.25" customHeight="1" x14ac:dyDescent="0.2">
      <c r="A11" s="348" t="s">
        <v>56</v>
      </c>
      <c r="B11" s="349"/>
      <c r="C11" s="349"/>
      <c r="D11" s="349"/>
      <c r="E11" s="349"/>
      <c r="F11" s="349"/>
      <c r="G11" s="349"/>
      <c r="H11" s="349"/>
      <c r="I11" s="349"/>
      <c r="J11" s="349"/>
      <c r="K11" s="350"/>
      <c r="L11" s="57"/>
    </row>
    <row r="12" spans="1:12" ht="80.25" customHeight="1" x14ac:dyDescent="0.2">
      <c r="A12" s="60" t="s">
        <v>32</v>
      </c>
      <c r="B12" s="112" t="s">
        <v>293</v>
      </c>
      <c r="C12" s="55" t="s">
        <v>296</v>
      </c>
      <c r="D12" s="110" t="s">
        <v>131</v>
      </c>
      <c r="E12" s="117">
        <v>38.5</v>
      </c>
      <c r="F12" s="110">
        <v>38.5</v>
      </c>
      <c r="G12" s="110">
        <v>40.5</v>
      </c>
      <c r="H12" s="110">
        <v>43.6</v>
      </c>
      <c r="I12" s="110">
        <v>45.1</v>
      </c>
      <c r="J12" s="110">
        <v>45.2</v>
      </c>
      <c r="K12" s="113">
        <v>1</v>
      </c>
      <c r="L12" s="57"/>
    </row>
    <row r="13" spans="1:12" ht="45.75" customHeight="1" x14ac:dyDescent="0.2">
      <c r="A13" s="60" t="s">
        <v>33</v>
      </c>
      <c r="B13" s="123" t="s">
        <v>294</v>
      </c>
      <c r="C13" s="137" t="s">
        <v>296</v>
      </c>
      <c r="D13" s="251" t="s">
        <v>131</v>
      </c>
      <c r="E13" s="252">
        <v>88.2</v>
      </c>
      <c r="F13" s="252" t="s">
        <v>295</v>
      </c>
      <c r="G13" s="252">
        <v>90</v>
      </c>
      <c r="H13" s="252">
        <v>91</v>
      </c>
      <c r="I13" s="252">
        <v>92</v>
      </c>
      <c r="J13" s="252">
        <v>93</v>
      </c>
      <c r="K13" s="252">
        <v>1</v>
      </c>
      <c r="L13" s="57"/>
    </row>
    <row r="14" spans="1:12" ht="47.25" customHeight="1" x14ac:dyDescent="0.2">
      <c r="A14" s="60" t="s">
        <v>34</v>
      </c>
      <c r="B14" s="123" t="s">
        <v>306</v>
      </c>
      <c r="C14" s="137"/>
      <c r="D14" s="155" t="s">
        <v>131</v>
      </c>
      <c r="E14" s="157">
        <v>21.4</v>
      </c>
      <c r="F14" s="157" t="s">
        <v>295</v>
      </c>
      <c r="G14" s="157">
        <v>24</v>
      </c>
      <c r="H14" s="157">
        <v>25.5</v>
      </c>
      <c r="I14" s="157">
        <v>28.5</v>
      </c>
      <c r="J14" s="157">
        <v>33.5</v>
      </c>
      <c r="K14" s="157">
        <v>1</v>
      </c>
      <c r="L14" s="6"/>
    </row>
    <row r="15" spans="1:12" ht="42" customHeight="1" x14ac:dyDescent="0.2">
      <c r="A15" s="122" t="s">
        <v>71</v>
      </c>
      <c r="B15" s="123" t="s">
        <v>304</v>
      </c>
      <c r="C15" s="137" t="s">
        <v>296</v>
      </c>
      <c r="D15" s="155" t="s">
        <v>131</v>
      </c>
      <c r="E15" s="157">
        <v>6.1</v>
      </c>
      <c r="F15" s="157" t="s">
        <v>295</v>
      </c>
      <c r="G15" s="157">
        <v>11</v>
      </c>
      <c r="H15" s="157">
        <v>12.5</v>
      </c>
      <c r="I15" s="157">
        <v>14.5</v>
      </c>
      <c r="J15" s="157">
        <v>18.5</v>
      </c>
      <c r="K15" s="157">
        <v>1</v>
      </c>
      <c r="L15" s="6"/>
    </row>
    <row r="16" spans="1:12" ht="45" customHeight="1" x14ac:dyDescent="0.2">
      <c r="A16" s="122" t="s">
        <v>72</v>
      </c>
      <c r="B16" s="123" t="s">
        <v>305</v>
      </c>
      <c r="C16" s="137" t="s">
        <v>296</v>
      </c>
      <c r="D16" s="251" t="s">
        <v>131</v>
      </c>
      <c r="E16" s="198">
        <v>256.7</v>
      </c>
      <c r="F16" s="186">
        <v>60</v>
      </c>
      <c r="G16" s="252">
        <v>259.31</v>
      </c>
      <c r="H16" s="252">
        <v>259.31</v>
      </c>
      <c r="I16" s="252">
        <v>259.31</v>
      </c>
      <c r="J16" s="252">
        <v>259.31</v>
      </c>
      <c r="K16" s="252">
        <v>1</v>
      </c>
      <c r="L16" s="6"/>
    </row>
    <row r="17" spans="1:12" ht="107.25" customHeight="1" x14ac:dyDescent="0.2">
      <c r="A17" s="60" t="s">
        <v>73</v>
      </c>
      <c r="B17" s="154" t="s">
        <v>132</v>
      </c>
      <c r="C17" s="137" t="s">
        <v>296</v>
      </c>
      <c r="D17" s="155" t="s">
        <v>131</v>
      </c>
      <c r="E17" s="199">
        <v>30</v>
      </c>
      <c r="F17" s="200">
        <v>55.58</v>
      </c>
      <c r="G17" s="157">
        <v>50</v>
      </c>
      <c r="H17" s="157">
        <v>55</v>
      </c>
      <c r="I17" s="157">
        <v>60</v>
      </c>
      <c r="J17" s="157">
        <v>61</v>
      </c>
      <c r="K17" s="157">
        <v>1</v>
      </c>
      <c r="L17" s="6"/>
    </row>
    <row r="18" spans="1:12" ht="37.5" customHeight="1" x14ac:dyDescent="0.2">
      <c r="A18" s="60" t="s">
        <v>74</v>
      </c>
      <c r="B18" s="123" t="s">
        <v>135</v>
      </c>
      <c r="C18" s="137" t="s">
        <v>296</v>
      </c>
      <c r="D18" s="155" t="s">
        <v>3</v>
      </c>
      <c r="E18" s="157">
        <v>1</v>
      </c>
      <c r="F18" s="157">
        <v>1</v>
      </c>
      <c r="G18" s="157">
        <v>1</v>
      </c>
      <c r="H18" s="157">
        <v>0</v>
      </c>
      <c r="I18" s="157">
        <v>0</v>
      </c>
      <c r="J18" s="157">
        <v>0</v>
      </c>
      <c r="K18" s="157">
        <v>2</v>
      </c>
      <c r="L18" s="6"/>
    </row>
    <row r="19" spans="1:12" ht="30.75" customHeight="1" x14ac:dyDescent="0.2">
      <c r="A19" s="60" t="s">
        <v>105</v>
      </c>
      <c r="B19" s="123" t="s">
        <v>297</v>
      </c>
      <c r="C19" s="137" t="s">
        <v>296</v>
      </c>
      <c r="D19" s="155" t="s">
        <v>3</v>
      </c>
      <c r="E19" s="157">
        <v>1</v>
      </c>
      <c r="F19" s="157" t="s">
        <v>295</v>
      </c>
      <c r="G19" s="157" t="s">
        <v>295</v>
      </c>
      <c r="H19" s="157" t="s">
        <v>295</v>
      </c>
      <c r="I19" s="157" t="s">
        <v>295</v>
      </c>
      <c r="J19" s="157" t="s">
        <v>295</v>
      </c>
      <c r="K19" s="157">
        <v>2</v>
      </c>
      <c r="L19" s="6"/>
    </row>
    <row r="20" spans="1:12" ht="42.75" customHeight="1" x14ac:dyDescent="0.2">
      <c r="A20" s="60" t="s">
        <v>106</v>
      </c>
      <c r="B20" s="123" t="s">
        <v>298</v>
      </c>
      <c r="C20" s="137" t="s">
        <v>296</v>
      </c>
      <c r="D20" s="155" t="s">
        <v>3</v>
      </c>
      <c r="E20" s="157">
        <v>1</v>
      </c>
      <c r="F20" s="157" t="s">
        <v>295</v>
      </c>
      <c r="G20" s="157" t="s">
        <v>295</v>
      </c>
      <c r="H20" s="157" t="s">
        <v>295</v>
      </c>
      <c r="I20" s="157" t="s">
        <v>295</v>
      </c>
      <c r="J20" s="157" t="s">
        <v>295</v>
      </c>
      <c r="K20" s="157">
        <v>2</v>
      </c>
      <c r="L20" s="6"/>
    </row>
    <row r="21" spans="1:12" ht="51" customHeight="1" x14ac:dyDescent="0.2">
      <c r="A21" s="60" t="s">
        <v>137</v>
      </c>
      <c r="B21" s="111" t="s">
        <v>299</v>
      </c>
      <c r="C21" s="55" t="s">
        <v>296</v>
      </c>
      <c r="D21" s="110" t="s">
        <v>131</v>
      </c>
      <c r="E21" s="67">
        <v>77</v>
      </c>
      <c r="F21" s="113">
        <v>77</v>
      </c>
      <c r="G21" s="113">
        <v>81</v>
      </c>
      <c r="H21" s="113">
        <v>85</v>
      </c>
      <c r="I21" s="113">
        <v>86</v>
      </c>
      <c r="J21" s="113">
        <v>87</v>
      </c>
      <c r="K21" s="113">
        <v>1</v>
      </c>
      <c r="L21" s="6"/>
    </row>
    <row r="22" spans="1:12" ht="62.25" customHeight="1" x14ac:dyDescent="0.2">
      <c r="A22" s="60" t="s">
        <v>138</v>
      </c>
      <c r="B22" s="111" t="s">
        <v>300</v>
      </c>
      <c r="C22" s="55"/>
      <c r="D22" s="110" t="s">
        <v>131</v>
      </c>
      <c r="E22" s="67">
        <v>21</v>
      </c>
      <c r="F22" s="113">
        <v>21</v>
      </c>
      <c r="G22" s="113">
        <v>25.3</v>
      </c>
      <c r="H22" s="113">
        <v>28.9</v>
      </c>
      <c r="I22" s="113">
        <v>28.9</v>
      </c>
      <c r="J22" s="113">
        <v>29</v>
      </c>
      <c r="K22" s="113">
        <v>1</v>
      </c>
      <c r="L22" s="6"/>
    </row>
    <row r="23" spans="1:12" ht="112.5" customHeight="1" x14ac:dyDescent="0.2">
      <c r="A23" s="60" t="s">
        <v>139</v>
      </c>
      <c r="B23" s="154" t="s">
        <v>133</v>
      </c>
      <c r="C23" s="137"/>
      <c r="D23" s="155" t="s">
        <v>131</v>
      </c>
      <c r="E23" s="199">
        <v>50</v>
      </c>
      <c r="F23" s="157">
        <v>50</v>
      </c>
      <c r="G23" s="157">
        <v>50.3</v>
      </c>
      <c r="H23" s="157">
        <v>50.6</v>
      </c>
      <c r="I23" s="157">
        <v>50.9</v>
      </c>
      <c r="J23" s="157">
        <v>51.2</v>
      </c>
      <c r="K23" s="157">
        <v>1</v>
      </c>
      <c r="L23" s="6"/>
    </row>
    <row r="24" spans="1:12" ht="63" customHeight="1" x14ac:dyDescent="0.2">
      <c r="A24" s="60" t="s">
        <v>140</v>
      </c>
      <c r="B24" s="154" t="s">
        <v>301</v>
      </c>
      <c r="C24" s="137"/>
      <c r="D24" s="155" t="s">
        <v>131</v>
      </c>
      <c r="E24" s="197">
        <v>80</v>
      </c>
      <c r="F24" s="197">
        <v>97</v>
      </c>
      <c r="G24" s="197">
        <v>98</v>
      </c>
      <c r="H24" s="197">
        <v>99</v>
      </c>
      <c r="I24" s="197">
        <v>100</v>
      </c>
      <c r="J24" s="197">
        <v>101</v>
      </c>
      <c r="K24" s="157">
        <v>1</v>
      </c>
      <c r="L24" s="6"/>
    </row>
    <row r="25" spans="1:12" ht="81" customHeight="1" x14ac:dyDescent="0.2">
      <c r="A25" s="60" t="s">
        <v>141</v>
      </c>
      <c r="B25" s="123" t="s">
        <v>302</v>
      </c>
      <c r="C25" s="137"/>
      <c r="D25" s="155" t="s">
        <v>3</v>
      </c>
      <c r="E25" s="157">
        <v>1</v>
      </c>
      <c r="F25" s="157">
        <v>1</v>
      </c>
      <c r="G25" s="157">
        <v>1</v>
      </c>
      <c r="H25" s="157" t="s">
        <v>295</v>
      </c>
      <c r="I25" s="157" t="s">
        <v>295</v>
      </c>
      <c r="J25" s="157" t="s">
        <v>295</v>
      </c>
      <c r="K25" s="157">
        <v>2</v>
      </c>
      <c r="L25" s="6"/>
    </row>
    <row r="26" spans="1:12" ht="46.5" customHeight="1" x14ac:dyDescent="0.2">
      <c r="A26" s="60" t="s">
        <v>142</v>
      </c>
      <c r="B26" s="123" t="s">
        <v>303</v>
      </c>
      <c r="C26" s="137"/>
      <c r="D26" s="155" t="s">
        <v>3</v>
      </c>
      <c r="E26" s="157" t="s">
        <v>295</v>
      </c>
      <c r="F26" s="157" t="s">
        <v>295</v>
      </c>
      <c r="G26" s="157" t="s">
        <v>295</v>
      </c>
      <c r="H26" s="157" t="s">
        <v>295</v>
      </c>
      <c r="I26" s="157" t="s">
        <v>295</v>
      </c>
      <c r="J26" s="157" t="s">
        <v>295</v>
      </c>
      <c r="K26" s="157">
        <v>1</v>
      </c>
      <c r="L26" s="6"/>
    </row>
    <row r="27" spans="1:12" ht="72.75" customHeight="1" x14ac:dyDescent="0.2">
      <c r="A27" s="60" t="s">
        <v>202</v>
      </c>
      <c r="B27" s="123" t="s">
        <v>341</v>
      </c>
      <c r="C27" s="137"/>
      <c r="D27" s="155" t="s">
        <v>131</v>
      </c>
      <c r="E27" s="157">
        <v>10.26</v>
      </c>
      <c r="F27" s="157">
        <v>12.04</v>
      </c>
      <c r="G27" s="157">
        <v>11</v>
      </c>
      <c r="H27" s="157">
        <v>15</v>
      </c>
      <c r="I27" s="157">
        <v>15.5</v>
      </c>
      <c r="J27" s="157">
        <v>15.7</v>
      </c>
      <c r="K27" s="157">
        <v>1</v>
      </c>
      <c r="L27" s="6"/>
    </row>
    <row r="28" spans="1:12" s="255" customFormat="1" ht="42" customHeight="1" x14ac:dyDescent="0.2">
      <c r="A28" s="256" t="s">
        <v>289</v>
      </c>
      <c r="B28" s="249" t="s">
        <v>328</v>
      </c>
      <c r="C28" s="257"/>
      <c r="D28" s="253" t="s">
        <v>131</v>
      </c>
      <c r="E28" s="253" t="s">
        <v>295</v>
      </c>
      <c r="F28" s="253" t="s">
        <v>295</v>
      </c>
      <c r="G28" s="253">
        <v>47</v>
      </c>
      <c r="H28" s="253">
        <v>50</v>
      </c>
      <c r="I28" s="253">
        <v>52</v>
      </c>
      <c r="J28" s="253">
        <v>53</v>
      </c>
      <c r="K28" s="253">
        <v>1</v>
      </c>
      <c r="L28" s="254"/>
    </row>
    <row r="29" spans="1:12" s="255" customFormat="1" ht="33.75" customHeight="1" x14ac:dyDescent="0.2">
      <c r="A29" s="256" t="s">
        <v>290</v>
      </c>
      <c r="B29" s="249" t="s">
        <v>422</v>
      </c>
      <c r="C29" s="257"/>
      <c r="D29" s="253" t="s">
        <v>131</v>
      </c>
      <c r="E29" s="253" t="s">
        <v>295</v>
      </c>
      <c r="F29" s="253"/>
      <c r="G29" s="253">
        <v>37.5</v>
      </c>
      <c r="H29" s="253">
        <v>38</v>
      </c>
      <c r="I29" s="253">
        <v>38.5</v>
      </c>
      <c r="J29" s="253">
        <v>39</v>
      </c>
      <c r="K29" s="253">
        <v>1</v>
      </c>
      <c r="L29" s="254"/>
    </row>
    <row r="30" spans="1:12" ht="44.25" customHeight="1" x14ac:dyDescent="0.2">
      <c r="A30" s="60" t="s">
        <v>291</v>
      </c>
      <c r="B30" s="123" t="s">
        <v>294</v>
      </c>
      <c r="C30" s="137" t="s">
        <v>296</v>
      </c>
      <c r="D30" s="155" t="s">
        <v>131</v>
      </c>
      <c r="E30" s="157">
        <v>88.2</v>
      </c>
      <c r="F30" s="157" t="s">
        <v>295</v>
      </c>
      <c r="G30" s="157">
        <v>90</v>
      </c>
      <c r="H30" s="157">
        <v>91</v>
      </c>
      <c r="I30" s="157">
        <v>92</v>
      </c>
      <c r="J30" s="157">
        <v>93</v>
      </c>
      <c r="K30" s="157">
        <v>1</v>
      </c>
      <c r="L30" s="6"/>
    </row>
    <row r="31" spans="1:12" ht="36.75" customHeight="1" x14ac:dyDescent="0.2">
      <c r="A31" s="60" t="s">
        <v>423</v>
      </c>
      <c r="B31" s="123" t="s">
        <v>418</v>
      </c>
      <c r="C31" s="137"/>
      <c r="D31" s="155" t="s">
        <v>131</v>
      </c>
      <c r="E31" s="157" t="s">
        <v>295</v>
      </c>
      <c r="F31" s="157">
        <v>0</v>
      </c>
      <c r="G31" s="157">
        <v>21.35</v>
      </c>
      <c r="H31" s="186">
        <v>21.4</v>
      </c>
      <c r="I31" s="186">
        <v>21.45</v>
      </c>
      <c r="J31" s="186">
        <v>21.5</v>
      </c>
      <c r="K31" s="157">
        <v>1</v>
      </c>
      <c r="L31" s="6"/>
    </row>
    <row r="32" spans="1:12" ht="26.25" customHeight="1" x14ac:dyDescent="0.2">
      <c r="A32" s="343" t="s">
        <v>78</v>
      </c>
      <c r="B32" s="344"/>
      <c r="C32" s="344"/>
      <c r="D32" s="344"/>
      <c r="E32" s="344"/>
      <c r="F32" s="344"/>
      <c r="G32" s="344"/>
      <c r="H32" s="344"/>
      <c r="I32" s="344"/>
      <c r="J32" s="345"/>
      <c r="K32" s="65"/>
      <c r="L32" s="57"/>
    </row>
    <row r="33" spans="1:15" ht="91.5" customHeight="1" x14ac:dyDescent="0.2">
      <c r="A33" s="66" t="s">
        <v>58</v>
      </c>
      <c r="B33" s="123" t="s">
        <v>136</v>
      </c>
      <c r="C33" s="137"/>
      <c r="D33" s="135" t="s">
        <v>131</v>
      </c>
      <c r="E33" s="135">
        <v>100</v>
      </c>
      <c r="F33" s="135">
        <v>100</v>
      </c>
      <c r="G33" s="135">
        <v>100</v>
      </c>
      <c r="H33" s="135">
        <v>100</v>
      </c>
      <c r="I33" s="135">
        <v>100</v>
      </c>
      <c r="J33" s="135">
        <v>100</v>
      </c>
      <c r="K33" s="136">
        <v>1</v>
      </c>
      <c r="L33" s="57"/>
    </row>
    <row r="34" spans="1:15" ht="90.75" customHeight="1" x14ac:dyDescent="0.2">
      <c r="A34" s="66" t="s">
        <v>167</v>
      </c>
      <c r="B34" s="114" t="s">
        <v>292</v>
      </c>
      <c r="C34" s="110" t="s">
        <v>296</v>
      </c>
      <c r="D34" s="110" t="s">
        <v>131</v>
      </c>
      <c r="E34" s="110">
        <v>72.5</v>
      </c>
      <c r="F34" s="110">
        <v>100</v>
      </c>
      <c r="G34" s="110">
        <v>100</v>
      </c>
      <c r="H34" s="110">
        <v>100</v>
      </c>
      <c r="I34" s="110">
        <v>100</v>
      </c>
      <c r="J34" s="110">
        <v>100</v>
      </c>
      <c r="K34" s="113">
        <v>1</v>
      </c>
      <c r="L34" s="6"/>
    </row>
    <row r="35" spans="1:15" ht="26.25" customHeight="1" x14ac:dyDescent="0.2">
      <c r="A35" s="343" t="s">
        <v>100</v>
      </c>
      <c r="B35" s="344"/>
      <c r="C35" s="344"/>
      <c r="D35" s="344"/>
      <c r="E35" s="344"/>
      <c r="F35" s="344"/>
      <c r="G35" s="344"/>
      <c r="H35" s="344"/>
      <c r="I35" s="344"/>
      <c r="J35" s="345"/>
      <c r="K35" s="65"/>
      <c r="L35" s="57"/>
    </row>
    <row r="36" spans="1:15" ht="67.5" customHeight="1" x14ac:dyDescent="0.2">
      <c r="A36" s="341" t="s">
        <v>421</v>
      </c>
      <c r="B36" s="201" t="s">
        <v>134</v>
      </c>
      <c r="C36" s="137"/>
      <c r="D36" s="157" t="s">
        <v>144</v>
      </c>
      <c r="E36" s="197">
        <v>71.88</v>
      </c>
      <c r="F36" s="197">
        <v>733</v>
      </c>
      <c r="G36" s="197">
        <v>733.1</v>
      </c>
      <c r="H36" s="197">
        <v>733.2</v>
      </c>
      <c r="I36" s="197">
        <v>733.3</v>
      </c>
      <c r="J36" s="197">
        <v>733.4</v>
      </c>
      <c r="K36" s="157">
        <v>1</v>
      </c>
      <c r="L36" s="6"/>
      <c r="O36" s="68"/>
    </row>
    <row r="37" spans="1:15" ht="48.75" customHeight="1" x14ac:dyDescent="0.2">
      <c r="A37" s="342"/>
      <c r="B37" s="201" t="s">
        <v>350</v>
      </c>
      <c r="C37" s="137"/>
      <c r="D37" s="157" t="s">
        <v>351</v>
      </c>
      <c r="E37" s="202">
        <v>4517</v>
      </c>
      <c r="F37" s="202">
        <v>4517</v>
      </c>
      <c r="G37" s="202">
        <v>4517</v>
      </c>
      <c r="H37" s="202">
        <v>4517</v>
      </c>
      <c r="I37" s="202">
        <v>4517</v>
      </c>
      <c r="J37" s="202">
        <v>4517</v>
      </c>
      <c r="K37" s="157">
        <v>1</v>
      </c>
      <c r="L37" s="6"/>
      <c r="O37" s="68"/>
    </row>
  </sheetData>
  <mergeCells count="16">
    <mergeCell ref="A36:A37"/>
    <mergeCell ref="A35:J35"/>
    <mergeCell ref="A32:J32"/>
    <mergeCell ref="A1:K1"/>
    <mergeCell ref="A2:K2"/>
    <mergeCell ref="A3:K3"/>
    <mergeCell ref="A5:K5"/>
    <mergeCell ref="A6:K6"/>
    <mergeCell ref="A8:A9"/>
    <mergeCell ref="E8:E9"/>
    <mergeCell ref="F8:J8"/>
    <mergeCell ref="B8:B9"/>
    <mergeCell ref="C8:C9"/>
    <mergeCell ref="D8:D9"/>
    <mergeCell ref="A11:K11"/>
    <mergeCell ref="K8:K9"/>
  </mergeCells>
  <pageMargins left="0.51181102362204722" right="0.51181102362204722" top="0.74803149606299213" bottom="0.74803149606299213" header="0.31496062992125984" footer="0.31496062992125984"/>
  <pageSetup paperSize="9" scale="75" fitToHeight="0" orientation="landscape" r:id="rId1"/>
  <rowBreaks count="2" manualBreakCount="2">
    <brk id="18" max="10" man="1"/>
    <brk id="2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33"/>
  <sheetViews>
    <sheetView view="pageBreakPreview" zoomScale="80" zoomScaleNormal="100" zoomScaleSheetLayoutView="80" workbookViewId="0">
      <selection activeCell="C28" sqref="C28:F28"/>
    </sheetView>
  </sheetViews>
  <sheetFormatPr defaultRowHeight="14.25" x14ac:dyDescent="0.2"/>
  <cols>
    <col min="1" max="1" width="6.5703125" style="134" customWidth="1"/>
    <col min="2" max="2" width="56.5703125" style="11" customWidth="1"/>
    <col min="3" max="5" width="9.140625" style="11"/>
    <col min="6" max="6" width="66.85546875" style="11" customWidth="1"/>
    <col min="7" max="7" width="14.7109375" style="11" customWidth="1"/>
    <col min="8" max="8" width="13.5703125" style="125" customWidth="1"/>
    <col min="9" max="16384" width="9.140625" style="11"/>
  </cols>
  <sheetData>
    <row r="1" spans="1:8" x14ac:dyDescent="0.2">
      <c r="A1" s="311" t="s">
        <v>18</v>
      </c>
      <c r="B1" s="311"/>
      <c r="C1" s="311"/>
      <c r="D1" s="311"/>
      <c r="E1" s="311"/>
      <c r="F1" s="311"/>
      <c r="G1" s="311"/>
      <c r="H1" s="311"/>
    </row>
    <row r="2" spans="1:8" x14ac:dyDescent="0.2">
      <c r="A2" s="311" t="s">
        <v>110</v>
      </c>
      <c r="B2" s="311"/>
      <c r="C2" s="311"/>
      <c r="D2" s="311"/>
      <c r="E2" s="311"/>
      <c r="F2" s="311"/>
      <c r="G2" s="311"/>
      <c r="H2" s="311"/>
    </row>
    <row r="3" spans="1:8" ht="15" x14ac:dyDescent="0.2">
      <c r="A3" s="311" t="s">
        <v>321</v>
      </c>
      <c r="B3" s="311"/>
      <c r="C3" s="311"/>
      <c r="D3" s="311"/>
      <c r="E3" s="311"/>
      <c r="F3" s="311"/>
      <c r="G3" s="311"/>
      <c r="H3" s="311"/>
    </row>
    <row r="4" spans="1:8" ht="15" x14ac:dyDescent="0.2">
      <c r="A4" s="124"/>
    </row>
    <row r="5" spans="1:8" x14ac:dyDescent="0.2">
      <c r="A5" s="332" t="s">
        <v>47</v>
      </c>
      <c r="B5" s="332"/>
      <c r="C5" s="332"/>
      <c r="D5" s="332"/>
      <c r="E5" s="332"/>
      <c r="F5" s="332"/>
      <c r="G5" s="332"/>
      <c r="H5" s="332"/>
    </row>
    <row r="6" spans="1:8" ht="40.5" customHeight="1" x14ac:dyDescent="0.2">
      <c r="A6" s="363" t="s">
        <v>322</v>
      </c>
      <c r="B6" s="363"/>
      <c r="C6" s="363"/>
      <c r="D6" s="363"/>
      <c r="E6" s="363"/>
      <c r="F6" s="363"/>
      <c r="G6" s="363"/>
      <c r="H6" s="363"/>
    </row>
    <row r="7" spans="1:8" ht="38.25" x14ac:dyDescent="0.2">
      <c r="A7" s="119" t="s">
        <v>48</v>
      </c>
      <c r="B7" s="126" t="s">
        <v>49</v>
      </c>
      <c r="C7" s="353" t="s">
        <v>50</v>
      </c>
      <c r="D7" s="353"/>
      <c r="E7" s="353"/>
      <c r="F7" s="353"/>
      <c r="G7" s="126" t="s">
        <v>1</v>
      </c>
      <c r="H7" s="127" t="s">
        <v>51</v>
      </c>
    </row>
    <row r="8" spans="1:8" ht="23.25" customHeight="1" x14ac:dyDescent="0.2">
      <c r="A8" s="351" t="s">
        <v>56</v>
      </c>
      <c r="B8" s="352"/>
      <c r="C8" s="352"/>
      <c r="D8" s="352"/>
      <c r="E8" s="352"/>
      <c r="F8" s="352"/>
      <c r="G8" s="352"/>
      <c r="H8" s="352"/>
    </row>
    <row r="9" spans="1:8" ht="84" customHeight="1" x14ac:dyDescent="0.2">
      <c r="A9" s="122" t="s">
        <v>32</v>
      </c>
      <c r="B9" s="128" t="s">
        <v>143</v>
      </c>
      <c r="C9" s="354" t="s">
        <v>307</v>
      </c>
      <c r="D9" s="354"/>
      <c r="E9" s="354"/>
      <c r="F9" s="354"/>
      <c r="G9" s="119" t="s">
        <v>146</v>
      </c>
      <c r="H9" s="121">
        <f>'Прил 5 Планируемые результаты'!E12</f>
        <v>38.5</v>
      </c>
    </row>
    <row r="10" spans="1:8" ht="84" customHeight="1" x14ac:dyDescent="0.2">
      <c r="A10" s="122" t="s">
        <v>33</v>
      </c>
      <c r="B10" s="123" t="s">
        <v>315</v>
      </c>
      <c r="C10" s="355" t="s">
        <v>316</v>
      </c>
      <c r="D10" s="356"/>
      <c r="E10" s="356"/>
      <c r="F10" s="357"/>
      <c r="G10" s="119" t="s">
        <v>146</v>
      </c>
      <c r="H10" s="121">
        <f>'Прил 5 Планируемые результаты'!E30</f>
        <v>88.2</v>
      </c>
    </row>
    <row r="11" spans="1:8" ht="95.25" customHeight="1" x14ac:dyDescent="0.2">
      <c r="A11" s="122" t="s">
        <v>34</v>
      </c>
      <c r="B11" s="123" t="s">
        <v>306</v>
      </c>
      <c r="C11" s="355" t="s">
        <v>317</v>
      </c>
      <c r="D11" s="356"/>
      <c r="E11" s="356"/>
      <c r="F11" s="357"/>
      <c r="G11" s="119" t="s">
        <v>146</v>
      </c>
      <c r="H11" s="121">
        <f>'Прил 5 Планируемые результаты'!E14</f>
        <v>21.4</v>
      </c>
    </row>
    <row r="12" spans="1:8" ht="81" customHeight="1" x14ac:dyDescent="0.2">
      <c r="A12" s="122" t="s">
        <v>71</v>
      </c>
      <c r="B12" s="123" t="s">
        <v>304</v>
      </c>
      <c r="C12" s="355" t="s">
        <v>318</v>
      </c>
      <c r="D12" s="356"/>
      <c r="E12" s="356"/>
      <c r="F12" s="357"/>
      <c r="G12" s="119" t="s">
        <v>146</v>
      </c>
      <c r="H12" s="121">
        <f>'Прил 5 Планируемые результаты'!E15</f>
        <v>6.1</v>
      </c>
    </row>
    <row r="13" spans="1:8" ht="83.25" customHeight="1" x14ac:dyDescent="0.2">
      <c r="A13" s="122" t="s">
        <v>72</v>
      </c>
      <c r="B13" s="123" t="s">
        <v>305</v>
      </c>
      <c r="C13" s="355" t="s">
        <v>319</v>
      </c>
      <c r="D13" s="356"/>
      <c r="E13" s="356"/>
      <c r="F13" s="357"/>
      <c r="G13" s="119" t="s">
        <v>146</v>
      </c>
      <c r="H13" s="198">
        <v>256.7</v>
      </c>
    </row>
    <row r="14" spans="1:8" ht="95.25" customHeight="1" x14ac:dyDescent="0.2">
      <c r="A14" s="122" t="s">
        <v>73</v>
      </c>
      <c r="B14" s="118" t="s">
        <v>132</v>
      </c>
      <c r="C14" s="354" t="s">
        <v>320</v>
      </c>
      <c r="D14" s="354"/>
      <c r="E14" s="354"/>
      <c r="F14" s="354"/>
      <c r="G14" s="119" t="s">
        <v>146</v>
      </c>
      <c r="H14" s="132">
        <f>'Прил 5 Планируемые результаты'!E17</f>
        <v>30</v>
      </c>
    </row>
    <row r="15" spans="1:8" ht="122.25" customHeight="1" x14ac:dyDescent="0.2">
      <c r="A15" s="122" t="s">
        <v>74</v>
      </c>
      <c r="B15" s="123" t="s">
        <v>135</v>
      </c>
      <c r="C15" s="354" t="s">
        <v>311</v>
      </c>
      <c r="D15" s="354"/>
      <c r="E15" s="354"/>
      <c r="F15" s="354"/>
      <c r="G15" s="119" t="s">
        <v>314</v>
      </c>
      <c r="H15" s="131">
        <v>1</v>
      </c>
    </row>
    <row r="16" spans="1:8" ht="33" customHeight="1" x14ac:dyDescent="0.2">
      <c r="A16" s="122" t="s">
        <v>105</v>
      </c>
      <c r="B16" s="123" t="s">
        <v>297</v>
      </c>
      <c r="C16" s="355" t="s">
        <v>312</v>
      </c>
      <c r="D16" s="356"/>
      <c r="E16" s="356"/>
      <c r="F16" s="357"/>
      <c r="G16" s="119" t="s">
        <v>314</v>
      </c>
      <c r="H16" s="131" t="s">
        <v>295</v>
      </c>
    </row>
    <row r="17" spans="1:8" ht="41.25" customHeight="1" x14ac:dyDescent="0.2">
      <c r="A17" s="122" t="s">
        <v>106</v>
      </c>
      <c r="B17" s="118" t="s">
        <v>298</v>
      </c>
      <c r="C17" s="354" t="s">
        <v>313</v>
      </c>
      <c r="D17" s="354"/>
      <c r="E17" s="354"/>
      <c r="F17" s="354"/>
      <c r="G17" s="119" t="s">
        <v>314</v>
      </c>
      <c r="H17" s="131" t="s">
        <v>295</v>
      </c>
    </row>
    <row r="18" spans="1:8" ht="67.5" customHeight="1" x14ac:dyDescent="0.2">
      <c r="A18" s="122" t="s">
        <v>137</v>
      </c>
      <c r="B18" s="118" t="s">
        <v>299</v>
      </c>
      <c r="C18" s="354" t="s">
        <v>308</v>
      </c>
      <c r="D18" s="354"/>
      <c r="E18" s="354"/>
      <c r="F18" s="354"/>
      <c r="G18" s="119" t="s">
        <v>146</v>
      </c>
      <c r="H18" s="121">
        <f>'Прил 5 Планируемые результаты'!E21</f>
        <v>77</v>
      </c>
    </row>
    <row r="19" spans="1:8" ht="111" customHeight="1" x14ac:dyDescent="0.2">
      <c r="A19" s="122" t="s">
        <v>138</v>
      </c>
      <c r="B19" s="118" t="s">
        <v>300</v>
      </c>
      <c r="C19" s="354" t="s">
        <v>145</v>
      </c>
      <c r="D19" s="354"/>
      <c r="E19" s="354"/>
      <c r="F19" s="354"/>
      <c r="G19" s="119" t="s">
        <v>146</v>
      </c>
      <c r="H19" s="121">
        <f>'Прил 5 Планируемые результаты'!E22</f>
        <v>21</v>
      </c>
    </row>
    <row r="20" spans="1:8" ht="100.5" customHeight="1" x14ac:dyDescent="0.2">
      <c r="A20" s="122" t="s">
        <v>139</v>
      </c>
      <c r="B20" s="118" t="s">
        <v>133</v>
      </c>
      <c r="C20" s="354" t="s">
        <v>308</v>
      </c>
      <c r="D20" s="354"/>
      <c r="E20" s="354"/>
      <c r="F20" s="354"/>
      <c r="G20" s="119" t="s">
        <v>146</v>
      </c>
      <c r="H20" s="121">
        <f>'Прил 5 Планируемые результаты'!E23</f>
        <v>50</v>
      </c>
    </row>
    <row r="21" spans="1:8" ht="57.75" customHeight="1" x14ac:dyDescent="0.2">
      <c r="A21" s="122" t="s">
        <v>140</v>
      </c>
      <c r="B21" s="118" t="s">
        <v>301</v>
      </c>
      <c r="C21" s="354" t="s">
        <v>310</v>
      </c>
      <c r="D21" s="354"/>
      <c r="E21" s="354"/>
      <c r="F21" s="354"/>
      <c r="G21" s="119" t="s">
        <v>146</v>
      </c>
      <c r="H21" s="121">
        <f>'Прил 5 Планируемые результаты'!E24</f>
        <v>80</v>
      </c>
    </row>
    <row r="22" spans="1:8" ht="165.75" customHeight="1" x14ac:dyDescent="0.2">
      <c r="A22" s="122" t="s">
        <v>141</v>
      </c>
      <c r="B22" s="123" t="s">
        <v>302</v>
      </c>
      <c r="C22" s="355" t="s">
        <v>330</v>
      </c>
      <c r="D22" s="356"/>
      <c r="E22" s="356"/>
      <c r="F22" s="357"/>
      <c r="G22" s="251" t="s">
        <v>3</v>
      </c>
      <c r="H22" s="121">
        <v>1</v>
      </c>
    </row>
    <row r="23" spans="1:8" ht="116.25" customHeight="1" x14ac:dyDescent="0.2">
      <c r="A23" s="122" t="s">
        <v>142</v>
      </c>
      <c r="B23" s="104" t="s">
        <v>303</v>
      </c>
      <c r="C23" s="354" t="s">
        <v>331</v>
      </c>
      <c r="D23" s="354"/>
      <c r="E23" s="354"/>
      <c r="F23" s="354"/>
      <c r="G23" s="135" t="s">
        <v>314</v>
      </c>
      <c r="H23" s="131" t="s">
        <v>295</v>
      </c>
    </row>
    <row r="24" spans="1:8" ht="173.25" customHeight="1" x14ac:dyDescent="0.2">
      <c r="A24" s="122" t="s">
        <v>202</v>
      </c>
      <c r="B24" s="123" t="s">
        <v>341</v>
      </c>
      <c r="C24" s="354" t="s">
        <v>352</v>
      </c>
      <c r="D24" s="354"/>
      <c r="E24" s="354"/>
      <c r="F24" s="354"/>
      <c r="G24" s="119" t="s">
        <v>146</v>
      </c>
      <c r="H24" s="187">
        <f>'Прил 5 Планируемые результаты'!E27</f>
        <v>10.26</v>
      </c>
    </row>
    <row r="25" spans="1:8" ht="67.5" customHeight="1" x14ac:dyDescent="0.2">
      <c r="A25" s="122" t="s">
        <v>289</v>
      </c>
      <c r="B25" s="104" t="s">
        <v>328</v>
      </c>
      <c r="C25" s="354" t="s">
        <v>329</v>
      </c>
      <c r="D25" s="354"/>
      <c r="E25" s="354"/>
      <c r="F25" s="354"/>
      <c r="G25" s="135" t="s">
        <v>146</v>
      </c>
      <c r="H25" s="131" t="s">
        <v>295</v>
      </c>
    </row>
    <row r="26" spans="1:8" ht="66.75" customHeight="1" x14ac:dyDescent="0.2">
      <c r="A26" s="248" t="s">
        <v>290</v>
      </c>
      <c r="B26" s="249" t="s">
        <v>422</v>
      </c>
      <c r="C26" s="364"/>
      <c r="D26" s="364"/>
      <c r="E26" s="364"/>
      <c r="F26" s="364"/>
      <c r="G26" s="247" t="s">
        <v>146</v>
      </c>
      <c r="H26" s="250" t="s">
        <v>295</v>
      </c>
    </row>
    <row r="27" spans="1:8" ht="100.5" customHeight="1" x14ac:dyDescent="0.2">
      <c r="A27" s="248" t="s">
        <v>291</v>
      </c>
      <c r="B27" s="249" t="s">
        <v>294</v>
      </c>
      <c r="C27" s="365" t="s">
        <v>424</v>
      </c>
      <c r="D27" s="366"/>
      <c r="E27" s="366"/>
      <c r="F27" s="367"/>
      <c r="G27" s="253"/>
      <c r="H27" s="250"/>
    </row>
    <row r="28" spans="1:8" ht="165.75" customHeight="1" x14ac:dyDescent="0.2">
      <c r="A28" s="122" t="s">
        <v>423</v>
      </c>
      <c r="B28" s="123" t="s">
        <v>418</v>
      </c>
      <c r="C28" s="364" t="s">
        <v>419</v>
      </c>
      <c r="D28" s="364"/>
      <c r="E28" s="364"/>
      <c r="F28" s="364"/>
      <c r="G28" s="119" t="s">
        <v>146</v>
      </c>
      <c r="H28" s="121" t="s">
        <v>295</v>
      </c>
    </row>
    <row r="29" spans="1:8" ht="26.25" customHeight="1" x14ac:dyDescent="0.2">
      <c r="A29" s="358" t="s">
        <v>78</v>
      </c>
      <c r="B29" s="359"/>
      <c r="C29" s="359"/>
      <c r="D29" s="359"/>
      <c r="E29" s="359"/>
      <c r="F29" s="359"/>
      <c r="G29" s="359"/>
      <c r="H29" s="359"/>
    </row>
    <row r="30" spans="1:8" ht="147.75" customHeight="1" x14ac:dyDescent="0.2">
      <c r="A30" s="133" t="s">
        <v>58</v>
      </c>
      <c r="B30" s="118" t="s">
        <v>136</v>
      </c>
      <c r="C30" s="355" t="s">
        <v>333</v>
      </c>
      <c r="D30" s="356"/>
      <c r="E30" s="356"/>
      <c r="F30" s="357"/>
      <c r="G30" s="119" t="s">
        <v>146</v>
      </c>
      <c r="H30" s="131">
        <f>'Прил 5 Планируемые результаты'!E33</f>
        <v>100</v>
      </c>
    </row>
    <row r="31" spans="1:8" ht="85.5" customHeight="1" x14ac:dyDescent="0.2">
      <c r="A31" s="133" t="s">
        <v>167</v>
      </c>
      <c r="B31" s="118" t="s">
        <v>292</v>
      </c>
      <c r="C31" s="360" t="s">
        <v>332</v>
      </c>
      <c r="D31" s="361"/>
      <c r="E31" s="361"/>
      <c r="F31" s="362"/>
      <c r="G31" s="119" t="s">
        <v>146</v>
      </c>
      <c r="H31" s="131">
        <v>100</v>
      </c>
    </row>
    <row r="32" spans="1:8" ht="26.25" customHeight="1" x14ac:dyDescent="0.2">
      <c r="A32" s="358" t="s">
        <v>100</v>
      </c>
      <c r="B32" s="359"/>
      <c r="C32" s="359"/>
      <c r="D32" s="359"/>
      <c r="E32" s="359"/>
      <c r="F32" s="359"/>
      <c r="G32" s="359"/>
      <c r="H32" s="359"/>
    </row>
    <row r="33" spans="1:11" ht="56.25" customHeight="1" x14ac:dyDescent="0.2">
      <c r="A33" s="122" t="s">
        <v>421</v>
      </c>
      <c r="B33" s="129" t="s">
        <v>134</v>
      </c>
      <c r="C33" s="354" t="s">
        <v>309</v>
      </c>
      <c r="D33" s="354"/>
      <c r="E33" s="354"/>
      <c r="F33" s="354"/>
      <c r="G33" s="119" t="s">
        <v>147</v>
      </c>
      <c r="H33" s="219">
        <f>'Прил 5 Планируемые результаты'!E36</f>
        <v>71.88</v>
      </c>
      <c r="K33" s="130"/>
    </row>
  </sheetData>
  <mergeCells count="32">
    <mergeCell ref="C28:F28"/>
    <mergeCell ref="C20:F20"/>
    <mergeCell ref="C23:F23"/>
    <mergeCell ref="C25:F25"/>
    <mergeCell ref="C27:F27"/>
    <mergeCell ref="C26:F26"/>
    <mergeCell ref="C10:F10"/>
    <mergeCell ref="C11:F11"/>
    <mergeCell ref="C12:F12"/>
    <mergeCell ref="C22:F22"/>
    <mergeCell ref="C13:F13"/>
    <mergeCell ref="A1:H1"/>
    <mergeCell ref="A2:H2"/>
    <mergeCell ref="A3:H3"/>
    <mergeCell ref="A5:H5"/>
    <mergeCell ref="A6:H6"/>
    <mergeCell ref="A8:H8"/>
    <mergeCell ref="C7:F7"/>
    <mergeCell ref="C9:F9"/>
    <mergeCell ref="C14:F14"/>
    <mergeCell ref="C33:F33"/>
    <mergeCell ref="C16:F16"/>
    <mergeCell ref="C15:F15"/>
    <mergeCell ref="C18:F18"/>
    <mergeCell ref="C19:F19"/>
    <mergeCell ref="C17:F17"/>
    <mergeCell ref="C21:F21"/>
    <mergeCell ref="A32:H32"/>
    <mergeCell ref="A29:H29"/>
    <mergeCell ref="C24:F24"/>
    <mergeCell ref="C30:F30"/>
    <mergeCell ref="C31:F31"/>
  </mergeCells>
  <pageMargins left="0.7" right="0.7" top="0.75" bottom="0.75" header="0.3" footer="0.3"/>
  <pageSetup paperSize="9" scale="70" fitToHeight="0" orientation="landscape" r:id="rId1"/>
  <rowBreaks count="3" manualBreakCount="3">
    <brk id="13" max="7" man="1"/>
    <brk id="20" max="7" man="1"/>
    <brk id="3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49"/>
  <sheetViews>
    <sheetView view="pageBreakPreview" zoomScale="85" zoomScaleNormal="90" zoomScaleSheetLayoutView="85" workbookViewId="0">
      <pane ySplit="9" topLeftCell="A143" activePane="bottomLeft" state="frozen"/>
      <selection pane="bottomLeft" activeCell="J152" sqref="J152"/>
    </sheetView>
  </sheetViews>
  <sheetFormatPr defaultRowHeight="15" x14ac:dyDescent="0.25"/>
  <cols>
    <col min="1" max="1" width="6.28515625" style="36" customWidth="1"/>
    <col min="2" max="2" width="27.140625" style="3" customWidth="1"/>
    <col min="3" max="3" width="13.5703125" style="3" customWidth="1"/>
    <col min="4" max="4" width="17.85546875" style="3" customWidth="1"/>
    <col min="5" max="5" width="14.140625" style="18" customWidth="1"/>
    <col min="6" max="6" width="13.42578125" style="18" bestFit="1" customWidth="1"/>
    <col min="7" max="7" width="14.7109375" style="18" bestFit="1" customWidth="1"/>
    <col min="8" max="8" width="13.42578125" style="280" bestFit="1" customWidth="1"/>
    <col min="9" max="9" width="16" style="191" bestFit="1" customWidth="1"/>
    <col min="10" max="10" width="14.7109375" style="191" bestFit="1" customWidth="1"/>
    <col min="11" max="11" width="13.7109375" style="18" customWidth="1"/>
    <col min="12" max="12" width="20.42578125" style="3" customWidth="1"/>
    <col min="13" max="13" width="19.140625" style="3" customWidth="1"/>
    <col min="14" max="15" width="9.140625" style="3"/>
    <col min="16" max="16" width="9.85546875" style="3" bestFit="1" customWidth="1"/>
    <col min="17" max="17" width="15" style="68" bestFit="1" customWidth="1"/>
    <col min="18" max="16384" width="9.140625" style="3"/>
  </cols>
  <sheetData>
    <row r="1" spans="1:17" ht="14.25" x14ac:dyDescent="0.2">
      <c r="A1" s="310" t="s">
        <v>60</v>
      </c>
      <c r="B1" s="310"/>
      <c r="C1" s="310"/>
      <c r="D1" s="310"/>
      <c r="E1" s="310"/>
      <c r="F1" s="310"/>
      <c r="G1" s="310"/>
      <c r="H1" s="310"/>
      <c r="I1" s="310"/>
      <c r="J1" s="310"/>
      <c r="K1" s="310"/>
      <c r="L1" s="310"/>
      <c r="M1" s="310"/>
    </row>
    <row r="2" spans="1:17" ht="14.25" x14ac:dyDescent="0.2">
      <c r="A2" s="311" t="s">
        <v>110</v>
      </c>
      <c r="B2" s="311"/>
      <c r="C2" s="311"/>
      <c r="D2" s="311"/>
      <c r="E2" s="311"/>
      <c r="F2" s="311"/>
      <c r="G2" s="311"/>
      <c r="H2" s="311"/>
      <c r="I2" s="311"/>
      <c r="J2" s="311"/>
      <c r="K2" s="311"/>
      <c r="L2" s="311"/>
      <c r="M2" s="311"/>
    </row>
    <row r="3" spans="1:17" x14ac:dyDescent="0.2">
      <c r="A3" s="310" t="s">
        <v>123</v>
      </c>
      <c r="B3" s="310"/>
      <c r="C3" s="310"/>
      <c r="D3" s="310"/>
      <c r="E3" s="310"/>
      <c r="F3" s="310"/>
      <c r="G3" s="310"/>
      <c r="H3" s="310"/>
      <c r="I3" s="310"/>
      <c r="J3" s="310"/>
      <c r="K3" s="310"/>
      <c r="L3" s="310"/>
      <c r="M3" s="310"/>
    </row>
    <row r="4" spans="1:17" ht="14.25" x14ac:dyDescent="0.2">
      <c r="A4" s="4"/>
      <c r="B4" s="9"/>
      <c r="C4" s="58"/>
      <c r="D4" s="9"/>
      <c r="E4" s="79"/>
      <c r="F4" s="79"/>
      <c r="G4" s="79"/>
      <c r="H4" s="279"/>
      <c r="I4" s="190"/>
      <c r="J4" s="190"/>
      <c r="K4" s="79"/>
      <c r="L4" s="9"/>
      <c r="M4" s="9"/>
    </row>
    <row r="5" spans="1:17" ht="15.75" x14ac:dyDescent="0.2">
      <c r="A5" s="429" t="s">
        <v>82</v>
      </c>
      <c r="B5" s="429"/>
      <c r="C5" s="429"/>
      <c r="D5" s="429"/>
      <c r="E5" s="429"/>
      <c r="F5" s="429"/>
      <c r="G5" s="429"/>
      <c r="H5" s="429"/>
      <c r="I5" s="429"/>
      <c r="J5" s="429"/>
      <c r="K5" s="429"/>
      <c r="L5" s="429"/>
      <c r="M5" s="429"/>
    </row>
    <row r="6" spans="1:17" ht="15.75" x14ac:dyDescent="0.2">
      <c r="A6" s="429" t="s">
        <v>114</v>
      </c>
      <c r="B6" s="429"/>
      <c r="C6" s="429"/>
      <c r="D6" s="429"/>
      <c r="E6" s="429"/>
      <c r="F6" s="429"/>
      <c r="G6" s="429"/>
      <c r="H6" s="429"/>
      <c r="I6" s="429"/>
      <c r="J6" s="429"/>
      <c r="K6" s="429"/>
      <c r="L6" s="429"/>
      <c r="M6" s="429"/>
    </row>
    <row r="7" spans="1:17" ht="14.25" x14ac:dyDescent="0.2">
      <c r="A7" s="4"/>
    </row>
    <row r="8" spans="1:17" ht="70.5" customHeight="1" x14ac:dyDescent="0.2">
      <c r="A8" s="430" t="s">
        <v>44</v>
      </c>
      <c r="B8" s="430" t="s">
        <v>38</v>
      </c>
      <c r="C8" s="430" t="s">
        <v>40</v>
      </c>
      <c r="D8" s="430" t="s">
        <v>39</v>
      </c>
      <c r="E8" s="421" t="s">
        <v>326</v>
      </c>
      <c r="F8" s="421" t="s">
        <v>41</v>
      </c>
      <c r="G8" s="421" t="s">
        <v>349</v>
      </c>
      <c r="H8" s="421"/>
      <c r="I8" s="421"/>
      <c r="J8" s="421"/>
      <c r="K8" s="421"/>
      <c r="L8" s="430" t="s">
        <v>42</v>
      </c>
      <c r="M8" s="430" t="s">
        <v>43</v>
      </c>
    </row>
    <row r="9" spans="1:17" ht="66.75" customHeight="1" x14ac:dyDescent="0.2">
      <c r="A9" s="430"/>
      <c r="B9" s="430"/>
      <c r="C9" s="430"/>
      <c r="D9" s="430"/>
      <c r="E9" s="421"/>
      <c r="F9" s="421"/>
      <c r="G9" s="19" t="s">
        <v>4</v>
      </c>
      <c r="H9" s="281" t="s">
        <v>52</v>
      </c>
      <c r="I9" s="192" t="s">
        <v>97</v>
      </c>
      <c r="J9" s="192" t="s">
        <v>92</v>
      </c>
      <c r="K9" s="19" t="s">
        <v>93</v>
      </c>
      <c r="L9" s="430"/>
      <c r="M9" s="430"/>
    </row>
    <row r="10" spans="1:17" ht="15" customHeight="1" x14ac:dyDescent="0.2">
      <c r="A10" s="10">
        <v>1</v>
      </c>
      <c r="B10" s="10">
        <v>2</v>
      </c>
      <c r="C10" s="147">
        <v>3</v>
      </c>
      <c r="D10" s="147">
        <v>4</v>
      </c>
      <c r="E10" s="147">
        <v>5</v>
      </c>
      <c r="F10" s="147">
        <v>6</v>
      </c>
      <c r="G10" s="147">
        <v>7</v>
      </c>
      <c r="H10" s="282">
        <v>8</v>
      </c>
      <c r="I10" s="160">
        <v>9</v>
      </c>
      <c r="J10" s="160">
        <v>10</v>
      </c>
      <c r="K10" s="147">
        <v>11</v>
      </c>
      <c r="L10" s="147">
        <v>12</v>
      </c>
      <c r="M10" s="147">
        <v>13</v>
      </c>
    </row>
    <row r="11" spans="1:17" ht="16.5" x14ac:dyDescent="0.2">
      <c r="A11" s="419" t="s">
        <v>61</v>
      </c>
      <c r="B11" s="419"/>
      <c r="C11" s="419"/>
      <c r="D11" s="419"/>
      <c r="E11" s="419"/>
      <c r="F11" s="419"/>
      <c r="G11" s="419"/>
      <c r="H11" s="419"/>
      <c r="I11" s="419"/>
      <c r="J11" s="419"/>
      <c r="K11" s="419"/>
      <c r="L11" s="419"/>
      <c r="M11" s="419"/>
    </row>
    <row r="12" spans="1:17" ht="17.25" customHeight="1" x14ac:dyDescent="0.2">
      <c r="A12" s="389" t="s">
        <v>59</v>
      </c>
      <c r="B12" s="422" t="s">
        <v>148</v>
      </c>
      <c r="C12" s="423"/>
      <c r="D12" s="21" t="s">
        <v>31</v>
      </c>
      <c r="E12" s="108">
        <f>E13</f>
        <v>57008.005360000003</v>
      </c>
      <c r="F12" s="108">
        <f>F13</f>
        <v>310432.15377999999</v>
      </c>
      <c r="G12" s="108">
        <f>G13</f>
        <v>62034.64841999999</v>
      </c>
      <c r="H12" s="283">
        <f>H13</f>
        <v>57008.005360000003</v>
      </c>
      <c r="I12" s="108">
        <f t="shared" ref="I12:K12" si="0">I13</f>
        <v>63718.299999999996</v>
      </c>
      <c r="J12" s="108">
        <f t="shared" si="0"/>
        <v>63835.6</v>
      </c>
      <c r="K12" s="108">
        <f t="shared" si="0"/>
        <v>63835.6</v>
      </c>
      <c r="L12" s="400" t="s">
        <v>440</v>
      </c>
      <c r="M12" s="427"/>
    </row>
    <row r="13" spans="1:17" s="87" customFormat="1" ht="53.25" customHeight="1" x14ac:dyDescent="0.2">
      <c r="A13" s="389"/>
      <c r="B13" s="424"/>
      <c r="C13" s="425"/>
      <c r="D13" s="88" t="s">
        <v>84</v>
      </c>
      <c r="E13" s="162">
        <f>H13</f>
        <v>57008.005360000003</v>
      </c>
      <c r="F13" s="162">
        <f>SUM(G13:K13)</f>
        <v>310432.15377999999</v>
      </c>
      <c r="G13" s="162">
        <f>G15+G17+G19+G21+G23+G25+G27+G29+G31+G33+G35+G37+G39+G41</f>
        <v>62034.64841999999</v>
      </c>
      <c r="H13" s="284">
        <f>H14+H16+H18+H20+H22+H24+H26+H28+H30+H32+H34+H40+H36+H38+H44+H42</f>
        <v>57008.005360000003</v>
      </c>
      <c r="I13" s="172">
        <f t="shared" ref="I13:K13" si="1">I14+I16+I18+I20+I22+I24+I26+I28+I30+I32+I34+I40+I36+I38+I44</f>
        <v>63718.299999999996</v>
      </c>
      <c r="J13" s="172">
        <f t="shared" si="1"/>
        <v>63835.6</v>
      </c>
      <c r="K13" s="162">
        <f t="shared" si="1"/>
        <v>63835.6</v>
      </c>
      <c r="L13" s="426"/>
      <c r="M13" s="428"/>
      <c r="O13" s="92"/>
      <c r="Q13" s="242"/>
    </row>
    <row r="14" spans="1:17" s="87" customFormat="1" ht="15.75" customHeight="1" x14ac:dyDescent="0.2">
      <c r="A14" s="384" t="s">
        <v>32</v>
      </c>
      <c r="B14" s="369" t="s">
        <v>361</v>
      </c>
      <c r="C14" s="380" t="s">
        <v>101</v>
      </c>
      <c r="D14" s="90" t="s">
        <v>31</v>
      </c>
      <c r="E14" s="163">
        <f t="shared" ref="E14:J14" si="2">E15</f>
        <v>1779.8616999999999</v>
      </c>
      <c r="F14" s="163">
        <f t="shared" si="2"/>
        <v>12267.51597</v>
      </c>
      <c r="G14" s="163">
        <f t="shared" si="2"/>
        <v>2387.65427</v>
      </c>
      <c r="H14" s="283">
        <f t="shared" si="2"/>
        <v>1779.8616999999999</v>
      </c>
      <c r="I14" s="108">
        <f t="shared" si="2"/>
        <v>2700</v>
      </c>
      <c r="J14" s="108">
        <f t="shared" si="2"/>
        <v>2700</v>
      </c>
      <c r="K14" s="163">
        <f>K15</f>
        <v>2700</v>
      </c>
      <c r="L14" s="374" t="s">
        <v>440</v>
      </c>
      <c r="M14" s="374" t="s">
        <v>176</v>
      </c>
      <c r="Q14" s="242"/>
    </row>
    <row r="15" spans="1:17" s="87" customFormat="1" ht="98.25" customHeight="1" x14ac:dyDescent="0.2">
      <c r="A15" s="384"/>
      <c r="B15" s="369"/>
      <c r="C15" s="385"/>
      <c r="D15" s="88" t="s">
        <v>87</v>
      </c>
      <c r="E15" s="162">
        <f>H15</f>
        <v>1779.8616999999999</v>
      </c>
      <c r="F15" s="162">
        <f>SUM(G15:K15)</f>
        <v>12267.51597</v>
      </c>
      <c r="G15" s="162">
        <f>(2387654.27)/1000</f>
        <v>2387.65427</v>
      </c>
      <c r="H15" s="284">
        <f>1779861.7/1000</f>
        <v>1779.8616999999999</v>
      </c>
      <c r="I15" s="172">
        <v>2700</v>
      </c>
      <c r="J15" s="172">
        <v>2700</v>
      </c>
      <c r="K15" s="162">
        <v>2700</v>
      </c>
      <c r="L15" s="382"/>
      <c r="M15" s="382"/>
      <c r="Q15" s="242"/>
    </row>
    <row r="16" spans="1:17" s="87" customFormat="1" ht="16.5" customHeight="1" x14ac:dyDescent="0.2">
      <c r="A16" s="368" t="s">
        <v>33</v>
      </c>
      <c r="B16" s="369" t="s">
        <v>149</v>
      </c>
      <c r="C16" s="380" t="s">
        <v>101</v>
      </c>
      <c r="D16" s="90" t="s">
        <v>31</v>
      </c>
      <c r="E16" s="163">
        <f t="shared" ref="E16:K16" si="3">SUM(E17:E17)</f>
        <v>100</v>
      </c>
      <c r="F16" s="163">
        <f t="shared" si="3"/>
        <v>1436.6990000000001</v>
      </c>
      <c r="G16" s="163">
        <f t="shared" si="3"/>
        <v>286.69900000000001</v>
      </c>
      <c r="H16" s="283">
        <f t="shared" si="3"/>
        <v>100</v>
      </c>
      <c r="I16" s="108">
        <f t="shared" si="3"/>
        <v>350</v>
      </c>
      <c r="J16" s="108">
        <f t="shared" si="3"/>
        <v>350</v>
      </c>
      <c r="K16" s="163">
        <f t="shared" si="3"/>
        <v>350</v>
      </c>
      <c r="L16" s="374" t="s">
        <v>442</v>
      </c>
      <c r="M16" s="374" t="s">
        <v>160</v>
      </c>
      <c r="Q16" s="242"/>
    </row>
    <row r="17" spans="1:17" s="87" customFormat="1" ht="51.75" customHeight="1" x14ac:dyDescent="0.2">
      <c r="A17" s="368"/>
      <c r="B17" s="369"/>
      <c r="C17" s="381"/>
      <c r="D17" s="88" t="s">
        <v>88</v>
      </c>
      <c r="E17" s="162">
        <f>H17</f>
        <v>100</v>
      </c>
      <c r="F17" s="162">
        <f>G17+H17+I17+J17+K17</f>
        <v>1436.6990000000001</v>
      </c>
      <c r="G17" s="162">
        <f>(286699)/1000</f>
        <v>286.69900000000001</v>
      </c>
      <c r="H17" s="284">
        <v>100</v>
      </c>
      <c r="I17" s="172">
        <v>350</v>
      </c>
      <c r="J17" s="172">
        <v>350</v>
      </c>
      <c r="K17" s="162">
        <v>350</v>
      </c>
      <c r="L17" s="375"/>
      <c r="M17" s="375"/>
      <c r="Q17" s="242"/>
    </row>
    <row r="18" spans="1:17" s="87" customFormat="1" ht="17.25" customHeight="1" x14ac:dyDescent="0.2">
      <c r="A18" s="368" t="s">
        <v>34</v>
      </c>
      <c r="B18" s="369" t="s">
        <v>212</v>
      </c>
      <c r="C18" s="432" t="s">
        <v>101</v>
      </c>
      <c r="D18" s="90" t="s">
        <v>31</v>
      </c>
      <c r="E18" s="163">
        <f t="shared" ref="E18:K24" si="4">SUM(E19:E19)</f>
        <v>47053.110939999999</v>
      </c>
      <c r="F18" s="163">
        <f t="shared" si="4"/>
        <v>237278.72094</v>
      </c>
      <c r="G18" s="163">
        <f t="shared" si="4"/>
        <v>51118.31</v>
      </c>
      <c r="H18" s="283">
        <f t="shared" si="4"/>
        <v>47053.110939999999</v>
      </c>
      <c r="I18" s="108">
        <f t="shared" si="4"/>
        <v>46369.1</v>
      </c>
      <c r="J18" s="108">
        <f t="shared" si="4"/>
        <v>46369.1</v>
      </c>
      <c r="K18" s="163">
        <f t="shared" si="4"/>
        <v>46369.1</v>
      </c>
      <c r="L18" s="374" t="s">
        <v>442</v>
      </c>
      <c r="M18" s="374" t="s">
        <v>177</v>
      </c>
      <c r="Q18" s="242"/>
    </row>
    <row r="19" spans="1:17" s="87" customFormat="1" ht="103.5" customHeight="1" x14ac:dyDescent="0.2">
      <c r="A19" s="368"/>
      <c r="B19" s="369"/>
      <c r="C19" s="432"/>
      <c r="D19" s="88" t="s">
        <v>88</v>
      </c>
      <c r="E19" s="162">
        <f>H19</f>
        <v>47053.110939999999</v>
      </c>
      <c r="F19" s="162">
        <f>G19+H19+I19+J19+K19</f>
        <v>237278.72094</v>
      </c>
      <c r="G19" s="162">
        <v>51118.31</v>
      </c>
      <c r="H19" s="284">
        <f>47053110.94/1000</f>
        <v>47053.110939999999</v>
      </c>
      <c r="I19" s="172">
        <v>46369.1</v>
      </c>
      <c r="J19" s="172">
        <v>46369.1</v>
      </c>
      <c r="K19" s="162">
        <v>46369.1</v>
      </c>
      <c r="L19" s="375"/>
      <c r="M19" s="382"/>
      <c r="Q19" s="242"/>
    </row>
    <row r="20" spans="1:17" s="87" customFormat="1" ht="17.25" customHeight="1" x14ac:dyDescent="0.2">
      <c r="A20" s="368" t="s">
        <v>71</v>
      </c>
      <c r="B20" s="369" t="s">
        <v>203</v>
      </c>
      <c r="C20" s="370" t="s">
        <v>101</v>
      </c>
      <c r="D20" s="90" t="s">
        <v>31</v>
      </c>
      <c r="E20" s="163">
        <f t="shared" si="4"/>
        <v>3990.6228799999999</v>
      </c>
      <c r="F20" s="163">
        <f t="shared" si="4"/>
        <v>15843.32288</v>
      </c>
      <c r="G20" s="163">
        <f t="shared" si="4"/>
        <v>2820</v>
      </c>
      <c r="H20" s="283">
        <f t="shared" si="4"/>
        <v>3990.6228799999999</v>
      </c>
      <c r="I20" s="108">
        <f t="shared" si="4"/>
        <v>2932.7</v>
      </c>
      <c r="J20" s="108">
        <f t="shared" si="4"/>
        <v>3050</v>
      </c>
      <c r="K20" s="163">
        <f t="shared" si="4"/>
        <v>3050</v>
      </c>
      <c r="L20" s="374" t="s">
        <v>442</v>
      </c>
      <c r="M20" s="374" t="s">
        <v>159</v>
      </c>
      <c r="Q20" s="242"/>
    </row>
    <row r="21" spans="1:17" s="87" customFormat="1" ht="96.75" customHeight="1" x14ac:dyDescent="0.2">
      <c r="A21" s="368"/>
      <c r="B21" s="369"/>
      <c r="C21" s="371"/>
      <c r="D21" s="88" t="s">
        <v>88</v>
      </c>
      <c r="E21" s="162">
        <f>H21</f>
        <v>3990.6228799999999</v>
      </c>
      <c r="F21" s="162">
        <f>G21+H21+I21+J21+K21</f>
        <v>15843.32288</v>
      </c>
      <c r="G21" s="162">
        <v>2820</v>
      </c>
      <c r="H21" s="284">
        <f>3990622.88/1000</f>
        <v>3990.6228799999999</v>
      </c>
      <c r="I21" s="172">
        <v>2932.7</v>
      </c>
      <c r="J21" s="172">
        <v>3050</v>
      </c>
      <c r="K21" s="162">
        <v>3050</v>
      </c>
      <c r="L21" s="375"/>
      <c r="M21" s="382"/>
      <c r="Q21" s="242"/>
    </row>
    <row r="22" spans="1:17" s="87" customFormat="1" ht="17.25" customHeight="1" x14ac:dyDescent="0.2">
      <c r="A22" s="368" t="s">
        <v>72</v>
      </c>
      <c r="B22" s="369" t="s">
        <v>207</v>
      </c>
      <c r="C22" s="370" t="s">
        <v>101</v>
      </c>
      <c r="D22" s="90" t="s">
        <v>31</v>
      </c>
      <c r="E22" s="163">
        <f t="shared" si="4"/>
        <v>117.15396000000001</v>
      </c>
      <c r="F22" s="163">
        <f t="shared" si="4"/>
        <v>4777.5539599999993</v>
      </c>
      <c r="G22" s="163">
        <f t="shared" si="4"/>
        <v>1165.0999999999999</v>
      </c>
      <c r="H22" s="283">
        <f t="shared" si="4"/>
        <v>117.15396000000001</v>
      </c>
      <c r="I22" s="108">
        <f t="shared" si="4"/>
        <v>1165.0999999999999</v>
      </c>
      <c r="J22" s="108">
        <f t="shared" si="4"/>
        <v>1165.0999999999999</v>
      </c>
      <c r="K22" s="163">
        <f t="shared" si="4"/>
        <v>1165.0999999999999</v>
      </c>
      <c r="L22" s="374" t="s">
        <v>442</v>
      </c>
      <c r="M22" s="374" t="s">
        <v>159</v>
      </c>
      <c r="Q22" s="242"/>
    </row>
    <row r="23" spans="1:17" s="87" customFormat="1" ht="97.5" customHeight="1" x14ac:dyDescent="0.2">
      <c r="A23" s="368"/>
      <c r="B23" s="369"/>
      <c r="C23" s="371"/>
      <c r="D23" s="88" t="s">
        <v>88</v>
      </c>
      <c r="E23" s="162">
        <f>H23</f>
        <v>117.15396000000001</v>
      </c>
      <c r="F23" s="162">
        <f>G23+H23+I23+J23+K23</f>
        <v>4777.5539599999993</v>
      </c>
      <c r="G23" s="162">
        <v>1165.0999999999999</v>
      </c>
      <c r="H23" s="284">
        <f>117153.96/1000</f>
        <v>117.15396000000001</v>
      </c>
      <c r="I23" s="172">
        <v>1165.0999999999999</v>
      </c>
      <c r="J23" s="172">
        <v>1165.0999999999999</v>
      </c>
      <c r="K23" s="162">
        <v>1165.0999999999999</v>
      </c>
      <c r="L23" s="375"/>
      <c r="M23" s="382"/>
      <c r="Q23" s="242"/>
    </row>
    <row r="24" spans="1:17" s="87" customFormat="1" ht="17.25" customHeight="1" x14ac:dyDescent="0.2">
      <c r="A24" s="368" t="s">
        <v>73</v>
      </c>
      <c r="B24" s="369" t="s">
        <v>234</v>
      </c>
      <c r="C24" s="370" t="s">
        <v>101</v>
      </c>
      <c r="D24" s="90" t="s">
        <v>31</v>
      </c>
      <c r="E24" s="163">
        <f t="shared" si="4"/>
        <v>1460.7</v>
      </c>
      <c r="F24" s="163">
        <f t="shared" si="4"/>
        <v>17583.099999999999</v>
      </c>
      <c r="G24" s="163">
        <f t="shared" si="4"/>
        <v>1958.2</v>
      </c>
      <c r="H24" s="283">
        <f t="shared" si="4"/>
        <v>1460.7</v>
      </c>
      <c r="I24" s="108">
        <f t="shared" si="4"/>
        <v>4721.3999999999996</v>
      </c>
      <c r="J24" s="108">
        <f t="shared" si="4"/>
        <v>4721.3999999999996</v>
      </c>
      <c r="K24" s="163">
        <f t="shared" si="4"/>
        <v>4721.3999999999996</v>
      </c>
      <c r="L24" s="374" t="s">
        <v>442</v>
      </c>
      <c r="M24" s="374" t="s">
        <v>159</v>
      </c>
      <c r="Q24" s="242"/>
    </row>
    <row r="25" spans="1:17" s="87" customFormat="1" ht="114" customHeight="1" x14ac:dyDescent="0.2">
      <c r="A25" s="368"/>
      <c r="B25" s="369"/>
      <c r="C25" s="371"/>
      <c r="D25" s="88" t="s">
        <v>88</v>
      </c>
      <c r="E25" s="162">
        <f>H25</f>
        <v>1460.7</v>
      </c>
      <c r="F25" s="162">
        <f>G25+H25+I25+J25+K25</f>
        <v>17583.099999999999</v>
      </c>
      <c r="G25" s="162">
        <v>1958.2</v>
      </c>
      <c r="H25" s="284">
        <f>1460700/1000</f>
        <v>1460.7</v>
      </c>
      <c r="I25" s="172">
        <v>4721.3999999999996</v>
      </c>
      <c r="J25" s="172">
        <v>4721.3999999999996</v>
      </c>
      <c r="K25" s="162">
        <v>4721.3999999999996</v>
      </c>
      <c r="L25" s="375"/>
      <c r="M25" s="382"/>
      <c r="Q25" s="242"/>
    </row>
    <row r="26" spans="1:17" s="87" customFormat="1" ht="20.25" customHeight="1" x14ac:dyDescent="0.2">
      <c r="A26" s="368" t="s">
        <v>74</v>
      </c>
      <c r="B26" s="369" t="s">
        <v>205</v>
      </c>
      <c r="C26" s="370" t="s">
        <v>101</v>
      </c>
      <c r="D26" s="90" t="s">
        <v>31</v>
      </c>
      <c r="E26" s="163">
        <f t="shared" ref="E26:K28" si="5">SUM(E27:E27)</f>
        <v>1347.1327200000001</v>
      </c>
      <c r="F26" s="163">
        <f t="shared" si="5"/>
        <v>8527.100269999999</v>
      </c>
      <c r="G26" s="163">
        <f t="shared" si="5"/>
        <v>879.96755000000007</v>
      </c>
      <c r="H26" s="283">
        <f t="shared" si="5"/>
        <v>1347.1327200000001</v>
      </c>
      <c r="I26" s="108">
        <f t="shared" si="5"/>
        <v>2100</v>
      </c>
      <c r="J26" s="108">
        <f t="shared" si="5"/>
        <v>2100</v>
      </c>
      <c r="K26" s="163">
        <f t="shared" si="5"/>
        <v>2100</v>
      </c>
      <c r="L26" s="374" t="s">
        <v>442</v>
      </c>
      <c r="M26" s="374" t="s">
        <v>161</v>
      </c>
      <c r="Q26" s="242"/>
    </row>
    <row r="27" spans="1:17" s="87" customFormat="1" ht="60" customHeight="1" x14ac:dyDescent="0.2">
      <c r="A27" s="368"/>
      <c r="B27" s="369"/>
      <c r="C27" s="371"/>
      <c r="D27" s="88" t="s">
        <v>88</v>
      </c>
      <c r="E27" s="162">
        <f>H27</f>
        <v>1347.1327200000001</v>
      </c>
      <c r="F27" s="162">
        <f>G27+H27+I27+J27+K27</f>
        <v>8527.100269999999</v>
      </c>
      <c r="G27" s="162">
        <f>879967.55/1000</f>
        <v>879.96755000000007</v>
      </c>
      <c r="H27" s="284">
        <f>1347132.72/1000</f>
        <v>1347.1327200000001</v>
      </c>
      <c r="I27" s="172">
        <v>2100</v>
      </c>
      <c r="J27" s="172">
        <v>2100</v>
      </c>
      <c r="K27" s="162">
        <v>2100</v>
      </c>
      <c r="L27" s="375"/>
      <c r="M27" s="382"/>
      <c r="Q27" s="242"/>
    </row>
    <row r="28" spans="1:17" s="87" customFormat="1" ht="20.25" customHeight="1" x14ac:dyDescent="0.2">
      <c r="A28" s="368" t="s">
        <v>105</v>
      </c>
      <c r="B28" s="369" t="s">
        <v>208</v>
      </c>
      <c r="C28" s="370" t="s">
        <v>101</v>
      </c>
      <c r="D28" s="90" t="s">
        <v>31</v>
      </c>
      <c r="E28" s="163">
        <f t="shared" si="5"/>
        <v>0</v>
      </c>
      <c r="F28" s="163">
        <f t="shared" si="5"/>
        <v>6906.1</v>
      </c>
      <c r="G28" s="163">
        <f t="shared" si="5"/>
        <v>846.1</v>
      </c>
      <c r="H28" s="283">
        <f t="shared" si="5"/>
        <v>0</v>
      </c>
      <c r="I28" s="108">
        <f t="shared" si="5"/>
        <v>2020</v>
      </c>
      <c r="J28" s="108">
        <f t="shared" si="5"/>
        <v>2020</v>
      </c>
      <c r="K28" s="163">
        <f t="shared" si="5"/>
        <v>2020</v>
      </c>
      <c r="L28" s="374" t="s">
        <v>442</v>
      </c>
      <c r="M28" s="374" t="s">
        <v>200</v>
      </c>
      <c r="Q28" s="242"/>
    </row>
    <row r="29" spans="1:17" s="87" customFormat="1" ht="76.5" customHeight="1" x14ac:dyDescent="0.2">
      <c r="A29" s="368"/>
      <c r="B29" s="369"/>
      <c r="C29" s="371"/>
      <c r="D29" s="88" t="s">
        <v>88</v>
      </c>
      <c r="E29" s="162">
        <f>H29</f>
        <v>0</v>
      </c>
      <c r="F29" s="162">
        <f>G29+H29+I29+J29+K29</f>
        <v>6906.1</v>
      </c>
      <c r="G29" s="162">
        <f>(39100+807000)/1000</f>
        <v>846.1</v>
      </c>
      <c r="H29" s="284">
        <v>0</v>
      </c>
      <c r="I29" s="172">
        <v>2020</v>
      </c>
      <c r="J29" s="172">
        <v>2020</v>
      </c>
      <c r="K29" s="162">
        <v>2020</v>
      </c>
      <c r="L29" s="375"/>
      <c r="M29" s="382"/>
      <c r="Q29" s="242"/>
    </row>
    <row r="30" spans="1:17" s="87" customFormat="1" ht="21.75" customHeight="1" x14ac:dyDescent="0.2">
      <c r="A30" s="368" t="s">
        <v>106</v>
      </c>
      <c r="B30" s="369" t="s">
        <v>209</v>
      </c>
      <c r="C30" s="370" t="s">
        <v>101</v>
      </c>
      <c r="D30" s="90" t="s">
        <v>31</v>
      </c>
      <c r="E30" s="163">
        <f t="shared" ref="E30:K30" si="6">SUM(E31:E31)</f>
        <v>50.7</v>
      </c>
      <c r="F30" s="163">
        <f t="shared" si="6"/>
        <v>200.7</v>
      </c>
      <c r="G30" s="163">
        <f t="shared" si="6"/>
        <v>0</v>
      </c>
      <c r="H30" s="283">
        <f t="shared" si="6"/>
        <v>50.7</v>
      </c>
      <c r="I30" s="108">
        <f t="shared" si="6"/>
        <v>50</v>
      </c>
      <c r="J30" s="108">
        <f t="shared" si="6"/>
        <v>50</v>
      </c>
      <c r="K30" s="163">
        <f t="shared" si="6"/>
        <v>50</v>
      </c>
      <c r="L30" s="374" t="s">
        <v>442</v>
      </c>
      <c r="M30" s="374" t="s">
        <v>162</v>
      </c>
      <c r="Q30" s="242"/>
    </row>
    <row r="31" spans="1:17" s="87" customFormat="1" ht="54.75" customHeight="1" x14ac:dyDescent="0.2">
      <c r="A31" s="368"/>
      <c r="B31" s="369"/>
      <c r="C31" s="371"/>
      <c r="D31" s="88" t="s">
        <v>88</v>
      </c>
      <c r="E31" s="162">
        <f>H31</f>
        <v>50.7</v>
      </c>
      <c r="F31" s="162">
        <f>G31+H31+I31+J31+K31</f>
        <v>200.7</v>
      </c>
      <c r="G31" s="162">
        <v>0</v>
      </c>
      <c r="H31" s="284">
        <f>50700/1000</f>
        <v>50.7</v>
      </c>
      <c r="I31" s="172">
        <v>50</v>
      </c>
      <c r="J31" s="172">
        <v>50</v>
      </c>
      <c r="K31" s="162">
        <v>50</v>
      </c>
      <c r="L31" s="375"/>
      <c r="M31" s="382"/>
      <c r="Q31" s="242"/>
    </row>
    <row r="32" spans="1:17" s="87" customFormat="1" ht="14.25" customHeight="1" x14ac:dyDescent="0.2">
      <c r="A32" s="368" t="s">
        <v>137</v>
      </c>
      <c r="B32" s="369" t="s">
        <v>233</v>
      </c>
      <c r="C32" s="370" t="s">
        <v>101</v>
      </c>
      <c r="D32" s="90" t="s">
        <v>31</v>
      </c>
      <c r="E32" s="163">
        <f t="shared" ref="E32:K32" si="7">SUM(E33:E33)</f>
        <v>0</v>
      </c>
      <c r="F32" s="163">
        <f t="shared" si="7"/>
        <v>1136.568</v>
      </c>
      <c r="G32" s="163">
        <f t="shared" si="7"/>
        <v>56.567999999999998</v>
      </c>
      <c r="H32" s="283">
        <f t="shared" si="7"/>
        <v>0</v>
      </c>
      <c r="I32" s="108">
        <f t="shared" si="7"/>
        <v>360</v>
      </c>
      <c r="J32" s="108">
        <f t="shared" si="7"/>
        <v>360</v>
      </c>
      <c r="K32" s="163">
        <f t="shared" si="7"/>
        <v>360</v>
      </c>
      <c r="L32" s="374" t="s">
        <v>442</v>
      </c>
      <c r="M32" s="374" t="s">
        <v>201</v>
      </c>
      <c r="Q32" s="242"/>
    </row>
    <row r="33" spans="1:17" s="87" customFormat="1" ht="120.75" customHeight="1" x14ac:dyDescent="0.2">
      <c r="A33" s="368"/>
      <c r="B33" s="369"/>
      <c r="C33" s="371"/>
      <c r="D33" s="88" t="s">
        <v>88</v>
      </c>
      <c r="E33" s="162">
        <f>H33</f>
        <v>0</v>
      </c>
      <c r="F33" s="162">
        <f>G33+H33+I33+J33+K33</f>
        <v>1136.568</v>
      </c>
      <c r="G33" s="162">
        <f>56568/1000</f>
        <v>56.567999999999998</v>
      </c>
      <c r="H33" s="284">
        <v>0</v>
      </c>
      <c r="I33" s="172">
        <v>360</v>
      </c>
      <c r="J33" s="172">
        <v>360</v>
      </c>
      <c r="K33" s="162">
        <v>360</v>
      </c>
      <c r="L33" s="375"/>
      <c r="M33" s="382"/>
      <c r="Q33" s="242"/>
    </row>
    <row r="34" spans="1:17" s="87" customFormat="1" ht="14.25" customHeight="1" x14ac:dyDescent="0.2">
      <c r="A34" s="368" t="s">
        <v>138</v>
      </c>
      <c r="B34" s="369" t="s">
        <v>210</v>
      </c>
      <c r="C34" s="370" t="s">
        <v>101</v>
      </c>
      <c r="D34" s="90" t="s">
        <v>31</v>
      </c>
      <c r="E34" s="163">
        <f t="shared" ref="E34:K34" si="8">SUM(E35:E35)</f>
        <v>0</v>
      </c>
      <c r="F34" s="163">
        <f t="shared" si="8"/>
        <v>1475</v>
      </c>
      <c r="G34" s="163">
        <f t="shared" si="8"/>
        <v>200</v>
      </c>
      <c r="H34" s="283">
        <f t="shared" si="8"/>
        <v>0</v>
      </c>
      <c r="I34" s="108">
        <f t="shared" si="8"/>
        <v>425</v>
      </c>
      <c r="J34" s="108">
        <f t="shared" si="8"/>
        <v>425</v>
      </c>
      <c r="K34" s="163">
        <f t="shared" si="8"/>
        <v>425</v>
      </c>
      <c r="L34" s="374" t="s">
        <v>442</v>
      </c>
      <c r="M34" s="374" t="s">
        <v>178</v>
      </c>
      <c r="Q34" s="242"/>
    </row>
    <row r="35" spans="1:17" s="87" customFormat="1" ht="51" customHeight="1" x14ac:dyDescent="0.2">
      <c r="A35" s="368"/>
      <c r="B35" s="431"/>
      <c r="C35" s="420"/>
      <c r="D35" s="91" t="s">
        <v>88</v>
      </c>
      <c r="E35" s="164">
        <f>H35</f>
        <v>0</v>
      </c>
      <c r="F35" s="164">
        <f>G35+H35+I35+J35+K35</f>
        <v>1475</v>
      </c>
      <c r="G35" s="165">
        <v>200</v>
      </c>
      <c r="H35" s="285">
        <v>0</v>
      </c>
      <c r="I35" s="168">
        <v>425</v>
      </c>
      <c r="J35" s="168">
        <v>425</v>
      </c>
      <c r="K35" s="165">
        <v>425</v>
      </c>
      <c r="L35" s="375"/>
      <c r="M35" s="375"/>
      <c r="Q35" s="242"/>
    </row>
    <row r="36" spans="1:17" s="87" customFormat="1" ht="14.25" customHeight="1" x14ac:dyDescent="0.2">
      <c r="A36" s="376" t="s">
        <v>186</v>
      </c>
      <c r="B36" s="414" t="s">
        <v>204</v>
      </c>
      <c r="C36" s="370" t="s">
        <v>101</v>
      </c>
      <c r="D36" s="90" t="s">
        <v>31</v>
      </c>
      <c r="E36" s="163">
        <f t="shared" ref="E36:K40" si="9">SUM(E37:E37)</f>
        <v>289.17</v>
      </c>
      <c r="F36" s="163">
        <f t="shared" si="9"/>
        <v>1383.9933000000001</v>
      </c>
      <c r="G36" s="163">
        <f t="shared" si="9"/>
        <v>194.82329999999999</v>
      </c>
      <c r="H36" s="283">
        <f t="shared" si="9"/>
        <v>289.17</v>
      </c>
      <c r="I36" s="108">
        <f t="shared" si="9"/>
        <v>300</v>
      </c>
      <c r="J36" s="108">
        <f t="shared" si="9"/>
        <v>300</v>
      </c>
      <c r="K36" s="163">
        <f t="shared" si="9"/>
        <v>300</v>
      </c>
      <c r="L36" s="374" t="s">
        <v>443</v>
      </c>
      <c r="M36" s="374" t="s">
        <v>174</v>
      </c>
      <c r="Q36" s="242"/>
    </row>
    <row r="37" spans="1:17" s="87" customFormat="1" ht="70.5" customHeight="1" x14ac:dyDescent="0.2">
      <c r="A37" s="397"/>
      <c r="B37" s="415"/>
      <c r="C37" s="420"/>
      <c r="D37" s="91" t="s">
        <v>88</v>
      </c>
      <c r="E37" s="164">
        <f>H37</f>
        <v>289.17</v>
      </c>
      <c r="F37" s="164">
        <f>G37+H37+I37+J37+K37</f>
        <v>1383.9933000000001</v>
      </c>
      <c r="G37" s="162">
        <f>194823.3/1000</f>
        <v>194.82329999999999</v>
      </c>
      <c r="H37" s="284">
        <f>289170/1000</f>
        <v>289.17</v>
      </c>
      <c r="I37" s="172">
        <v>300</v>
      </c>
      <c r="J37" s="172">
        <v>300</v>
      </c>
      <c r="K37" s="162">
        <v>300</v>
      </c>
      <c r="L37" s="375"/>
      <c r="M37" s="382"/>
      <c r="Q37" s="242"/>
    </row>
    <row r="38" spans="1:17" s="87" customFormat="1" ht="14.25" customHeight="1" x14ac:dyDescent="0.2">
      <c r="A38" s="376" t="s">
        <v>263</v>
      </c>
      <c r="B38" s="414" t="s">
        <v>265</v>
      </c>
      <c r="C38" s="370" t="s">
        <v>101</v>
      </c>
      <c r="D38" s="90" t="s">
        <v>31</v>
      </c>
      <c r="E38" s="163">
        <f t="shared" si="9"/>
        <v>185.8</v>
      </c>
      <c r="F38" s="163">
        <f t="shared" si="9"/>
        <v>885.3</v>
      </c>
      <c r="G38" s="163">
        <f t="shared" si="9"/>
        <v>99.5</v>
      </c>
      <c r="H38" s="283">
        <f t="shared" si="9"/>
        <v>185.8</v>
      </c>
      <c r="I38" s="108">
        <f t="shared" si="9"/>
        <v>200</v>
      </c>
      <c r="J38" s="108">
        <f t="shared" si="9"/>
        <v>200</v>
      </c>
      <c r="K38" s="163">
        <f t="shared" si="9"/>
        <v>200</v>
      </c>
      <c r="L38" s="374" t="s">
        <v>442</v>
      </c>
      <c r="M38" s="374" t="s">
        <v>267</v>
      </c>
      <c r="Q38" s="242"/>
    </row>
    <row r="39" spans="1:17" s="87" customFormat="1" ht="62.25" customHeight="1" x14ac:dyDescent="0.2">
      <c r="A39" s="397"/>
      <c r="B39" s="415"/>
      <c r="C39" s="420"/>
      <c r="D39" s="91" t="s">
        <v>88</v>
      </c>
      <c r="E39" s="164">
        <f>H39</f>
        <v>185.8</v>
      </c>
      <c r="F39" s="164">
        <f>G39+H39+I39+J39+K39</f>
        <v>885.3</v>
      </c>
      <c r="G39" s="162">
        <f>99500/1000</f>
        <v>99.5</v>
      </c>
      <c r="H39" s="284">
        <f>185800/1000</f>
        <v>185.8</v>
      </c>
      <c r="I39" s="172">
        <v>200</v>
      </c>
      <c r="J39" s="172">
        <v>200</v>
      </c>
      <c r="K39" s="162">
        <v>200</v>
      </c>
      <c r="L39" s="375"/>
      <c r="M39" s="382"/>
      <c r="Q39" s="242"/>
    </row>
    <row r="40" spans="1:17" s="87" customFormat="1" ht="14.25" customHeight="1" x14ac:dyDescent="0.2">
      <c r="A40" s="376" t="s">
        <v>264</v>
      </c>
      <c r="B40" s="414" t="s">
        <v>266</v>
      </c>
      <c r="C40" s="370" t="s">
        <v>101</v>
      </c>
      <c r="D40" s="90" t="s">
        <v>31</v>
      </c>
      <c r="E40" s="163">
        <f t="shared" si="9"/>
        <v>19.95316</v>
      </c>
      <c r="F40" s="163">
        <f t="shared" si="9"/>
        <v>116.67946000000001</v>
      </c>
      <c r="G40" s="163">
        <f t="shared" si="9"/>
        <v>21.726299999999998</v>
      </c>
      <c r="H40" s="283">
        <f t="shared" si="9"/>
        <v>19.95316</v>
      </c>
      <c r="I40" s="108">
        <f t="shared" si="9"/>
        <v>25</v>
      </c>
      <c r="J40" s="108">
        <f t="shared" si="9"/>
        <v>25</v>
      </c>
      <c r="K40" s="163">
        <f t="shared" si="9"/>
        <v>25</v>
      </c>
      <c r="L40" s="372" t="s">
        <v>442</v>
      </c>
      <c r="M40" s="374" t="s">
        <v>268</v>
      </c>
      <c r="Q40" s="242"/>
    </row>
    <row r="41" spans="1:17" s="87" customFormat="1" ht="71.25" customHeight="1" x14ac:dyDescent="0.2">
      <c r="A41" s="397"/>
      <c r="B41" s="415"/>
      <c r="C41" s="420"/>
      <c r="D41" s="91" t="s">
        <v>88</v>
      </c>
      <c r="E41" s="164">
        <f>H41</f>
        <v>19.95316</v>
      </c>
      <c r="F41" s="164">
        <f>G41+H41+I41+J41+K41</f>
        <v>116.67946000000001</v>
      </c>
      <c r="G41" s="162">
        <f>21726.3/1000</f>
        <v>21.726299999999998</v>
      </c>
      <c r="H41" s="284">
        <f>19953.16/1000</f>
        <v>19.95316</v>
      </c>
      <c r="I41" s="172">
        <v>25</v>
      </c>
      <c r="J41" s="172">
        <v>25</v>
      </c>
      <c r="K41" s="162">
        <v>25</v>
      </c>
      <c r="L41" s="373"/>
      <c r="M41" s="382"/>
      <c r="Q41" s="242"/>
    </row>
    <row r="42" spans="1:17" s="87" customFormat="1" ht="18.75" customHeight="1" x14ac:dyDescent="0.2">
      <c r="A42" s="368" t="s">
        <v>142</v>
      </c>
      <c r="B42" s="369" t="s">
        <v>325</v>
      </c>
      <c r="C42" s="370" t="s">
        <v>101</v>
      </c>
      <c r="D42" s="90" t="s">
        <v>31</v>
      </c>
      <c r="E42" s="174">
        <f>E43</f>
        <v>581</v>
      </c>
      <c r="F42" s="174">
        <f t="shared" ref="F42:F43" si="10">SUM(G42:K42)</f>
        <v>581</v>
      </c>
      <c r="G42" s="174">
        <f>G43</f>
        <v>0</v>
      </c>
      <c r="H42" s="283">
        <f>H43</f>
        <v>581</v>
      </c>
      <c r="I42" s="228">
        <f>I43</f>
        <v>0</v>
      </c>
      <c r="J42" s="228">
        <f>J43</f>
        <v>0</v>
      </c>
      <c r="K42" s="174">
        <f t="shared" ref="K42:K44" si="11">K43</f>
        <v>0</v>
      </c>
      <c r="L42" s="372" t="s">
        <v>327</v>
      </c>
      <c r="M42" s="374" t="s">
        <v>165</v>
      </c>
      <c r="Q42" s="242"/>
    </row>
    <row r="43" spans="1:17" s="87" customFormat="1" ht="56.25" customHeight="1" x14ac:dyDescent="0.2">
      <c r="A43" s="368"/>
      <c r="B43" s="369"/>
      <c r="C43" s="371"/>
      <c r="D43" s="271" t="s">
        <v>70</v>
      </c>
      <c r="E43" s="175">
        <f>H43</f>
        <v>581</v>
      </c>
      <c r="F43" s="175">
        <f t="shared" si="10"/>
        <v>581</v>
      </c>
      <c r="G43" s="175">
        <v>0</v>
      </c>
      <c r="H43" s="284">
        <f>581000/1000</f>
        <v>581</v>
      </c>
      <c r="I43" s="270">
        <v>0</v>
      </c>
      <c r="J43" s="270">
        <v>0</v>
      </c>
      <c r="K43" s="175">
        <v>0</v>
      </c>
      <c r="L43" s="373"/>
      <c r="M43" s="375"/>
      <c r="Q43" s="242"/>
    </row>
    <row r="44" spans="1:17" s="87" customFormat="1" ht="18.75" customHeight="1" x14ac:dyDescent="0.2">
      <c r="A44" s="368" t="s">
        <v>202</v>
      </c>
      <c r="B44" s="369" t="s">
        <v>452</v>
      </c>
      <c r="C44" s="370" t="s">
        <v>101</v>
      </c>
      <c r="D44" s="90" t="s">
        <v>31</v>
      </c>
      <c r="E44" s="163">
        <f>E45</f>
        <v>32.799999999999997</v>
      </c>
      <c r="F44" s="163">
        <f t="shared" ref="F44:F45" si="12">SUM(G44:K44)</f>
        <v>32.799999999999997</v>
      </c>
      <c r="G44" s="163">
        <f>G45</f>
        <v>0</v>
      </c>
      <c r="H44" s="283">
        <f>H45</f>
        <v>32.799999999999997</v>
      </c>
      <c r="I44" s="108">
        <f>I45</f>
        <v>0</v>
      </c>
      <c r="J44" s="108">
        <f>J45</f>
        <v>0</v>
      </c>
      <c r="K44" s="163">
        <f t="shared" si="11"/>
        <v>0</v>
      </c>
      <c r="L44" s="372" t="s">
        <v>327</v>
      </c>
      <c r="M44" s="374" t="s">
        <v>453</v>
      </c>
      <c r="Q44" s="242"/>
    </row>
    <row r="45" spans="1:17" s="87" customFormat="1" ht="56.25" customHeight="1" x14ac:dyDescent="0.2">
      <c r="A45" s="368"/>
      <c r="B45" s="369"/>
      <c r="C45" s="371"/>
      <c r="D45" s="120" t="s">
        <v>70</v>
      </c>
      <c r="E45" s="162">
        <f>H45</f>
        <v>32.799999999999997</v>
      </c>
      <c r="F45" s="162">
        <f t="shared" si="12"/>
        <v>32.799999999999997</v>
      </c>
      <c r="G45" s="162">
        <v>0</v>
      </c>
      <c r="H45" s="284">
        <f>32800/1000</f>
        <v>32.799999999999997</v>
      </c>
      <c r="I45" s="172">
        <v>0</v>
      </c>
      <c r="J45" s="172">
        <v>0</v>
      </c>
      <c r="K45" s="162">
        <v>0</v>
      </c>
      <c r="L45" s="373"/>
      <c r="M45" s="375"/>
      <c r="Q45" s="242"/>
    </row>
    <row r="46" spans="1:17" s="87" customFormat="1" ht="17.25" customHeight="1" x14ac:dyDescent="0.2">
      <c r="A46" s="376" t="s">
        <v>46</v>
      </c>
      <c r="B46" s="393" t="s">
        <v>154</v>
      </c>
      <c r="C46" s="394"/>
      <c r="D46" s="90" t="s">
        <v>31</v>
      </c>
      <c r="E46" s="163">
        <f>E47+E49</f>
        <v>157007.04306</v>
      </c>
      <c r="F46" s="163">
        <f>F47+F49</f>
        <v>163334.51546</v>
      </c>
      <c r="G46" s="163">
        <f>SUM(G47:G49)</f>
        <v>38279.5524</v>
      </c>
      <c r="H46" s="283">
        <f t="shared" ref="H46:K46" si="13">SUM(H47:H49)</f>
        <v>157007.04306</v>
      </c>
      <c r="I46" s="108">
        <f t="shared" si="13"/>
        <v>0</v>
      </c>
      <c r="J46" s="108">
        <f t="shared" si="13"/>
        <v>0</v>
      </c>
      <c r="K46" s="163">
        <f t="shared" si="13"/>
        <v>0</v>
      </c>
      <c r="L46" s="374" t="s">
        <v>445</v>
      </c>
      <c r="M46" s="374"/>
      <c r="Q46" s="242"/>
    </row>
    <row r="47" spans="1:17" s="87" customFormat="1" ht="45" customHeight="1" x14ac:dyDescent="0.2">
      <c r="A47" s="377"/>
      <c r="B47" s="395"/>
      <c r="C47" s="396"/>
      <c r="D47" s="89" t="s">
        <v>85</v>
      </c>
      <c r="E47" s="162">
        <f>H47</f>
        <v>7007.04306</v>
      </c>
      <c r="F47" s="162">
        <f>SUM(G47:K47)</f>
        <v>13334.515460000001</v>
      </c>
      <c r="G47" s="227">
        <f>G51+G53+G56+G59</f>
        <v>6327.4724000000006</v>
      </c>
      <c r="H47" s="284">
        <f>H51+H53+H56+H59+H62</f>
        <v>7007.04306</v>
      </c>
      <c r="I47" s="227">
        <f t="shared" ref="I47:K47" si="14">I51+I53+I56+I59</f>
        <v>0</v>
      </c>
      <c r="J47" s="227">
        <f t="shared" si="14"/>
        <v>0</v>
      </c>
      <c r="K47" s="227">
        <f t="shared" si="14"/>
        <v>0</v>
      </c>
      <c r="L47" s="375"/>
      <c r="M47" s="375"/>
      <c r="Q47" s="242"/>
    </row>
    <row r="48" spans="1:17" s="87" customFormat="1" ht="39.75" customHeight="1" x14ac:dyDescent="0.2">
      <c r="A48" s="377"/>
      <c r="B48" s="395"/>
      <c r="C48" s="396"/>
      <c r="D48" s="245" t="s">
        <v>12</v>
      </c>
      <c r="E48" s="175">
        <f>H48</f>
        <v>0</v>
      </c>
      <c r="F48" s="175">
        <f>SUM(G48:K48)</f>
        <v>31952.079999999998</v>
      </c>
      <c r="G48" s="175">
        <f>G54</f>
        <v>31952.079999999998</v>
      </c>
      <c r="H48" s="284">
        <f>H55+H61</f>
        <v>0</v>
      </c>
      <c r="I48" s="244">
        <f>I54+I57</f>
        <v>0</v>
      </c>
      <c r="J48" s="244">
        <f>J54+J57</f>
        <v>0</v>
      </c>
      <c r="K48" s="244">
        <f>K54+K57+K63</f>
        <v>0</v>
      </c>
      <c r="L48" s="375"/>
      <c r="M48" s="375"/>
      <c r="Q48" s="242"/>
    </row>
    <row r="49" spans="1:17" s="87" customFormat="1" ht="39.75" customHeight="1" x14ac:dyDescent="0.2">
      <c r="A49" s="397"/>
      <c r="B49" s="412"/>
      <c r="C49" s="413"/>
      <c r="D49" s="88" t="s">
        <v>55</v>
      </c>
      <c r="E49" s="162">
        <f>H49</f>
        <v>150000</v>
      </c>
      <c r="F49" s="162">
        <f>SUM(G49:K49)</f>
        <v>150000</v>
      </c>
      <c r="G49" s="244">
        <f>G64</f>
        <v>0</v>
      </c>
      <c r="H49" s="284">
        <f>H64</f>
        <v>150000</v>
      </c>
      <c r="I49" s="244">
        <f>I64</f>
        <v>0</v>
      </c>
      <c r="J49" s="189">
        <f>J55+J58</f>
        <v>0</v>
      </c>
      <c r="K49" s="189">
        <f>K55+K58+K64</f>
        <v>0</v>
      </c>
      <c r="L49" s="382"/>
      <c r="M49" s="382"/>
      <c r="Q49" s="242"/>
    </row>
    <row r="50" spans="1:17" s="87" customFormat="1" ht="15.75" x14ac:dyDescent="0.2">
      <c r="A50" s="368" t="s">
        <v>58</v>
      </c>
      <c r="B50" s="369" t="s">
        <v>68</v>
      </c>
      <c r="C50" s="380" t="s">
        <v>101</v>
      </c>
      <c r="D50" s="90" t="s">
        <v>11</v>
      </c>
      <c r="E50" s="163">
        <f>E51</f>
        <v>0</v>
      </c>
      <c r="F50" s="163">
        <f t="shared" ref="F50:K50" si="15">F51</f>
        <v>0</v>
      </c>
      <c r="G50" s="163">
        <f t="shared" si="15"/>
        <v>0</v>
      </c>
      <c r="H50" s="283">
        <f t="shared" si="15"/>
        <v>0</v>
      </c>
      <c r="I50" s="108">
        <f t="shared" si="15"/>
        <v>0</v>
      </c>
      <c r="J50" s="108">
        <f t="shared" si="15"/>
        <v>0</v>
      </c>
      <c r="K50" s="163">
        <f t="shared" si="15"/>
        <v>0</v>
      </c>
      <c r="L50" s="374" t="s">
        <v>442</v>
      </c>
      <c r="M50" s="374"/>
      <c r="Q50" s="242"/>
    </row>
    <row r="51" spans="1:17" s="87" customFormat="1" ht="81.75" customHeight="1" x14ac:dyDescent="0.2">
      <c r="A51" s="368"/>
      <c r="B51" s="369"/>
      <c r="C51" s="385"/>
      <c r="D51" s="88" t="s">
        <v>88</v>
      </c>
      <c r="E51" s="162">
        <f>H51</f>
        <v>0</v>
      </c>
      <c r="F51" s="162">
        <f>G51+H51+I51+J51+K51</f>
        <v>0</v>
      </c>
      <c r="G51" s="162">
        <v>0</v>
      </c>
      <c r="H51" s="284">
        <v>0</v>
      </c>
      <c r="I51" s="172">
        <v>0</v>
      </c>
      <c r="J51" s="172">
        <v>0</v>
      </c>
      <c r="K51" s="162">
        <v>0</v>
      </c>
      <c r="L51" s="382"/>
      <c r="M51" s="382"/>
      <c r="Q51" s="242">
        <f>5343280.8/1000</f>
        <v>5343.2807999999995</v>
      </c>
    </row>
    <row r="52" spans="1:17" s="87" customFormat="1" ht="15" customHeight="1" x14ac:dyDescent="0.2">
      <c r="A52" s="376" t="s">
        <v>167</v>
      </c>
      <c r="B52" s="378" t="s">
        <v>386</v>
      </c>
      <c r="C52" s="380" t="s">
        <v>101</v>
      </c>
      <c r="D52" s="90" t="s">
        <v>31</v>
      </c>
      <c r="E52" s="163">
        <f t="shared" ref="E52:K52" si="16">SUM(E53:E53)</f>
        <v>3547.04306</v>
      </c>
      <c r="F52" s="163">
        <f t="shared" si="16"/>
        <v>4346.8054599999996</v>
      </c>
      <c r="G52" s="163">
        <f t="shared" si="16"/>
        <v>799.76240000000007</v>
      </c>
      <c r="H52" s="283">
        <f t="shared" si="16"/>
        <v>3547.04306</v>
      </c>
      <c r="I52" s="108">
        <f t="shared" si="16"/>
        <v>0</v>
      </c>
      <c r="J52" s="108">
        <f t="shared" si="16"/>
        <v>0</v>
      </c>
      <c r="K52" s="163">
        <f t="shared" si="16"/>
        <v>0</v>
      </c>
      <c r="L52" s="375" t="s">
        <v>150</v>
      </c>
      <c r="M52" s="374" t="s">
        <v>277</v>
      </c>
      <c r="Q52" s="242"/>
    </row>
    <row r="53" spans="1:17" s="87" customFormat="1" ht="66.75" customHeight="1" x14ac:dyDescent="0.2">
      <c r="A53" s="397"/>
      <c r="B53" s="388"/>
      <c r="C53" s="385"/>
      <c r="D53" s="88" t="s">
        <v>88</v>
      </c>
      <c r="E53" s="162">
        <f>H53</f>
        <v>3547.04306</v>
      </c>
      <c r="F53" s="162">
        <f>G53+H53+I53+J53+K53</f>
        <v>4346.8054599999996</v>
      </c>
      <c r="G53" s="162">
        <f>799762.4/1000</f>
        <v>799.76240000000007</v>
      </c>
      <c r="H53" s="284">
        <f>3547043.06/1000</f>
        <v>3547.04306</v>
      </c>
      <c r="I53" s="172">
        <v>0</v>
      </c>
      <c r="J53" s="172">
        <v>0</v>
      </c>
      <c r="K53" s="162">
        <v>0</v>
      </c>
      <c r="L53" s="382"/>
      <c r="M53" s="382"/>
      <c r="Q53" s="242"/>
    </row>
    <row r="54" spans="1:17" s="87" customFormat="1" ht="15" customHeight="1" x14ac:dyDescent="0.2">
      <c r="A54" s="376" t="s">
        <v>179</v>
      </c>
      <c r="B54" s="378" t="s">
        <v>271</v>
      </c>
      <c r="C54" s="380" t="s">
        <v>101</v>
      </c>
      <c r="D54" s="90" t="s">
        <v>31</v>
      </c>
      <c r="E54" s="163">
        <f t="shared" ref="E54:K54" si="17">SUM(E55:E56)</f>
        <v>0</v>
      </c>
      <c r="F54" s="163">
        <f t="shared" si="17"/>
        <v>31952.079999999998</v>
      </c>
      <c r="G54" s="163">
        <f t="shared" si="17"/>
        <v>31952.079999999998</v>
      </c>
      <c r="H54" s="283">
        <f t="shared" si="17"/>
        <v>0</v>
      </c>
      <c r="I54" s="108">
        <f t="shared" si="17"/>
        <v>0</v>
      </c>
      <c r="J54" s="108">
        <f t="shared" si="17"/>
        <v>0</v>
      </c>
      <c r="K54" s="163">
        <f t="shared" si="17"/>
        <v>0</v>
      </c>
      <c r="L54" s="374" t="s">
        <v>150</v>
      </c>
      <c r="M54" s="374" t="s">
        <v>261</v>
      </c>
      <c r="Q54" s="242"/>
    </row>
    <row r="55" spans="1:17" s="87" customFormat="1" ht="38.25" customHeight="1" x14ac:dyDescent="0.2">
      <c r="A55" s="377"/>
      <c r="B55" s="379"/>
      <c r="C55" s="381"/>
      <c r="D55" s="140" t="s">
        <v>12</v>
      </c>
      <c r="E55" s="162">
        <f>H55</f>
        <v>0</v>
      </c>
      <c r="F55" s="162">
        <f>G55+H55+I55+J55+K55</f>
        <v>26424.37</v>
      </c>
      <c r="G55" s="162">
        <f>26424370/1000</f>
        <v>26424.37</v>
      </c>
      <c r="H55" s="284">
        <v>0</v>
      </c>
      <c r="I55" s="172">
        <v>0</v>
      </c>
      <c r="J55" s="172">
        <v>0</v>
      </c>
      <c r="K55" s="162">
        <v>0</v>
      </c>
      <c r="L55" s="375"/>
      <c r="M55" s="375"/>
      <c r="Q55" s="242"/>
    </row>
    <row r="56" spans="1:17" s="87" customFormat="1" ht="46.5" customHeight="1" x14ac:dyDescent="0.2">
      <c r="A56" s="397"/>
      <c r="B56" s="388"/>
      <c r="C56" s="385"/>
      <c r="D56" s="140" t="s">
        <v>88</v>
      </c>
      <c r="E56" s="162">
        <f>H56</f>
        <v>0</v>
      </c>
      <c r="F56" s="162">
        <f>G56+H56+I56+J56+K56</f>
        <v>5527.71</v>
      </c>
      <c r="G56" s="166">
        <f>5527710/1000</f>
        <v>5527.71</v>
      </c>
      <c r="H56" s="284">
        <v>0</v>
      </c>
      <c r="I56" s="172">
        <v>0</v>
      </c>
      <c r="J56" s="172">
        <v>0</v>
      </c>
      <c r="K56" s="162">
        <v>0</v>
      </c>
      <c r="L56" s="382"/>
      <c r="M56" s="382"/>
      <c r="Q56" s="242"/>
    </row>
    <row r="57" spans="1:17" s="87" customFormat="1" ht="15" customHeight="1" x14ac:dyDescent="0.2">
      <c r="A57" s="376" t="s">
        <v>338</v>
      </c>
      <c r="B57" s="378" t="s">
        <v>388</v>
      </c>
      <c r="C57" s="380" t="s">
        <v>101</v>
      </c>
      <c r="D57" s="90" t="s">
        <v>31</v>
      </c>
      <c r="E57" s="163">
        <f t="shared" ref="E57:K57" si="18">SUM(E58:E59)</f>
        <v>0</v>
      </c>
      <c r="F57" s="163">
        <f t="shared" si="18"/>
        <v>0</v>
      </c>
      <c r="G57" s="163">
        <f t="shared" si="18"/>
        <v>0</v>
      </c>
      <c r="H57" s="283">
        <f t="shared" si="18"/>
        <v>0</v>
      </c>
      <c r="I57" s="108">
        <f t="shared" si="18"/>
        <v>0</v>
      </c>
      <c r="J57" s="108">
        <f t="shared" si="18"/>
        <v>0</v>
      </c>
      <c r="K57" s="163">
        <f t="shared" si="18"/>
        <v>0</v>
      </c>
      <c r="L57" s="374" t="s">
        <v>150</v>
      </c>
      <c r="M57" s="374" t="s">
        <v>404</v>
      </c>
      <c r="Q57" s="242"/>
    </row>
    <row r="58" spans="1:17" s="87" customFormat="1" ht="38.25" customHeight="1" x14ac:dyDescent="0.2">
      <c r="A58" s="377"/>
      <c r="B58" s="379"/>
      <c r="C58" s="381"/>
      <c r="D58" s="140" t="s">
        <v>12</v>
      </c>
      <c r="E58" s="162">
        <f>H58</f>
        <v>0</v>
      </c>
      <c r="F58" s="162">
        <f>G58+H58+I58+J58+K58</f>
        <v>0</v>
      </c>
      <c r="G58" s="162">
        <v>0</v>
      </c>
      <c r="H58" s="284">
        <v>0</v>
      </c>
      <c r="I58" s="172">
        <v>0</v>
      </c>
      <c r="J58" s="172">
        <v>0</v>
      </c>
      <c r="K58" s="162">
        <v>0</v>
      </c>
      <c r="L58" s="375"/>
      <c r="M58" s="375"/>
      <c r="Q58" s="242"/>
    </row>
    <row r="59" spans="1:17" s="87" customFormat="1" ht="56.25" customHeight="1" x14ac:dyDescent="0.2">
      <c r="A59" s="397"/>
      <c r="B59" s="388"/>
      <c r="C59" s="385"/>
      <c r="D59" s="140" t="s">
        <v>88</v>
      </c>
      <c r="E59" s="162">
        <f>H59</f>
        <v>0</v>
      </c>
      <c r="F59" s="162">
        <f>G59+H59+I59+J59+K59</f>
        <v>0</v>
      </c>
      <c r="G59" s="166">
        <v>0</v>
      </c>
      <c r="H59" s="284">
        <v>0</v>
      </c>
      <c r="I59" s="172">
        <v>0</v>
      </c>
      <c r="J59" s="172">
        <v>0</v>
      </c>
      <c r="K59" s="162">
        <v>0</v>
      </c>
      <c r="L59" s="382"/>
      <c r="M59" s="382"/>
      <c r="Q59" s="242"/>
    </row>
    <row r="60" spans="1:17" s="87" customFormat="1" ht="15" customHeight="1" x14ac:dyDescent="0.2">
      <c r="A60" s="376" t="s">
        <v>339</v>
      </c>
      <c r="B60" s="378" t="s">
        <v>401</v>
      </c>
      <c r="C60" s="380" t="s">
        <v>101</v>
      </c>
      <c r="D60" s="90" t="s">
        <v>31</v>
      </c>
      <c r="E60" s="174">
        <f t="shared" ref="E60:K60" si="19">SUM(E61:E62)</f>
        <v>3460</v>
      </c>
      <c r="F60" s="174">
        <f t="shared" si="19"/>
        <v>3460</v>
      </c>
      <c r="G60" s="174">
        <f t="shared" si="19"/>
        <v>0</v>
      </c>
      <c r="H60" s="283">
        <f t="shared" si="19"/>
        <v>3460</v>
      </c>
      <c r="I60" s="228">
        <f t="shared" si="19"/>
        <v>0</v>
      </c>
      <c r="J60" s="228">
        <f t="shared" si="19"/>
        <v>0</v>
      </c>
      <c r="K60" s="174">
        <f t="shared" si="19"/>
        <v>0</v>
      </c>
      <c r="L60" s="374" t="s">
        <v>150</v>
      </c>
      <c r="M60" s="374" t="s">
        <v>407</v>
      </c>
      <c r="Q60" s="242"/>
    </row>
    <row r="61" spans="1:17" s="87" customFormat="1" ht="38.25" customHeight="1" x14ac:dyDescent="0.2">
      <c r="A61" s="377"/>
      <c r="B61" s="379"/>
      <c r="C61" s="381"/>
      <c r="D61" s="230" t="s">
        <v>12</v>
      </c>
      <c r="E61" s="175">
        <f>H61</f>
        <v>0</v>
      </c>
      <c r="F61" s="175">
        <f>G61+H61+I61+J61+K61</f>
        <v>0</v>
      </c>
      <c r="G61" s="175">
        <v>0</v>
      </c>
      <c r="H61" s="284">
        <v>0</v>
      </c>
      <c r="I61" s="227">
        <v>0</v>
      </c>
      <c r="J61" s="227">
        <v>0</v>
      </c>
      <c r="K61" s="175">
        <v>0</v>
      </c>
      <c r="L61" s="375"/>
      <c r="M61" s="375"/>
      <c r="Q61" s="242"/>
    </row>
    <row r="62" spans="1:17" s="87" customFormat="1" ht="51" customHeight="1" x14ac:dyDescent="0.2">
      <c r="A62" s="397"/>
      <c r="B62" s="388"/>
      <c r="C62" s="385"/>
      <c r="D62" s="230" t="s">
        <v>88</v>
      </c>
      <c r="E62" s="175">
        <f>H62</f>
        <v>3460</v>
      </c>
      <c r="F62" s="175">
        <f>G62+H62+I62+J62+K62</f>
        <v>3460</v>
      </c>
      <c r="G62" s="166">
        <v>0</v>
      </c>
      <c r="H62" s="284">
        <f>(3500-40)</f>
        <v>3460</v>
      </c>
      <c r="I62" s="227">
        <v>0</v>
      </c>
      <c r="J62" s="227">
        <v>0</v>
      </c>
      <c r="K62" s="175">
        <v>0</v>
      </c>
      <c r="L62" s="382"/>
      <c r="M62" s="382"/>
      <c r="Q62" s="242"/>
    </row>
    <row r="63" spans="1:17" s="87" customFormat="1" ht="15" customHeight="1" x14ac:dyDescent="0.2">
      <c r="A63" s="376" t="s">
        <v>405</v>
      </c>
      <c r="B63" s="378" t="s">
        <v>406</v>
      </c>
      <c r="C63" s="380" t="s">
        <v>101</v>
      </c>
      <c r="D63" s="90" t="s">
        <v>31</v>
      </c>
      <c r="E63" s="163">
        <f t="shared" ref="E63:K63" si="20">SUM(E64:E64)</f>
        <v>150000</v>
      </c>
      <c r="F63" s="163">
        <f t="shared" si="20"/>
        <v>150000</v>
      </c>
      <c r="G63" s="163">
        <f t="shared" si="20"/>
        <v>0</v>
      </c>
      <c r="H63" s="283">
        <f t="shared" si="20"/>
        <v>150000</v>
      </c>
      <c r="I63" s="108">
        <f t="shared" si="20"/>
        <v>0</v>
      </c>
      <c r="J63" s="108">
        <f t="shared" si="20"/>
        <v>0</v>
      </c>
      <c r="K63" s="163">
        <f t="shared" si="20"/>
        <v>0</v>
      </c>
      <c r="L63" s="374" t="s">
        <v>150</v>
      </c>
      <c r="M63" s="374" t="s">
        <v>408</v>
      </c>
      <c r="Q63" s="242"/>
    </row>
    <row r="64" spans="1:17" s="87" customFormat="1" ht="46.5" customHeight="1" x14ac:dyDescent="0.2">
      <c r="A64" s="377"/>
      <c r="B64" s="379"/>
      <c r="C64" s="381"/>
      <c r="D64" s="230" t="s">
        <v>55</v>
      </c>
      <c r="E64" s="162">
        <f>H64</f>
        <v>150000</v>
      </c>
      <c r="F64" s="162">
        <f>G64+H64+I64+J64+K64</f>
        <v>150000</v>
      </c>
      <c r="G64" s="162">
        <v>0</v>
      </c>
      <c r="H64" s="284">
        <f>150000000/1000</f>
        <v>150000</v>
      </c>
      <c r="I64" s="172">
        <v>0</v>
      </c>
      <c r="J64" s="172">
        <v>0</v>
      </c>
      <c r="K64" s="162">
        <v>0</v>
      </c>
      <c r="L64" s="375"/>
      <c r="M64" s="375"/>
      <c r="Q64" s="242"/>
    </row>
    <row r="65" spans="1:17" s="87" customFormat="1" ht="17.25" customHeight="1" x14ac:dyDescent="0.2">
      <c r="A65" s="376" t="s">
        <v>428</v>
      </c>
      <c r="B65" s="393" t="s">
        <v>438</v>
      </c>
      <c r="C65" s="394"/>
      <c r="D65" s="90" t="s">
        <v>31</v>
      </c>
      <c r="E65" s="174">
        <f>E68</f>
        <v>0</v>
      </c>
      <c r="F65" s="174">
        <f t="shared" ref="F65:K65" si="21">F68</f>
        <v>0</v>
      </c>
      <c r="G65" s="174">
        <f t="shared" si="21"/>
        <v>0</v>
      </c>
      <c r="H65" s="283">
        <f t="shared" si="21"/>
        <v>0</v>
      </c>
      <c r="I65" s="174">
        <f t="shared" si="21"/>
        <v>7939.2</v>
      </c>
      <c r="J65" s="174">
        <f t="shared" si="21"/>
        <v>0</v>
      </c>
      <c r="K65" s="174">
        <f t="shared" si="21"/>
        <v>0</v>
      </c>
      <c r="L65" s="374" t="s">
        <v>444</v>
      </c>
      <c r="M65" s="374"/>
      <c r="Q65" s="242"/>
    </row>
    <row r="66" spans="1:17" s="87" customFormat="1" ht="35.25" customHeight="1" x14ac:dyDescent="0.2">
      <c r="A66" s="377"/>
      <c r="B66" s="395"/>
      <c r="C66" s="396"/>
      <c r="D66" s="261" t="s">
        <v>12</v>
      </c>
      <c r="E66" s="175">
        <f>E69</f>
        <v>0</v>
      </c>
      <c r="F66" s="175">
        <f t="shared" ref="F66:K66" si="22">F69</f>
        <v>7939.2</v>
      </c>
      <c r="G66" s="175">
        <f t="shared" si="22"/>
        <v>0</v>
      </c>
      <c r="H66" s="284">
        <f t="shared" si="22"/>
        <v>0</v>
      </c>
      <c r="I66" s="175">
        <f t="shared" si="22"/>
        <v>7939.2</v>
      </c>
      <c r="J66" s="175">
        <f t="shared" si="22"/>
        <v>0</v>
      </c>
      <c r="K66" s="175">
        <f t="shared" si="22"/>
        <v>0</v>
      </c>
      <c r="L66" s="375"/>
      <c r="M66" s="375"/>
      <c r="Q66" s="242"/>
    </row>
    <row r="67" spans="1:17" s="87" customFormat="1" ht="44.25" customHeight="1" x14ac:dyDescent="0.2">
      <c r="A67" s="377"/>
      <c r="B67" s="395"/>
      <c r="C67" s="396"/>
      <c r="D67" s="261" t="s">
        <v>88</v>
      </c>
      <c r="E67" s="175">
        <f>E70</f>
        <v>0</v>
      </c>
      <c r="F67" s="175">
        <f t="shared" ref="F67:K67" si="23">F70</f>
        <v>0</v>
      </c>
      <c r="G67" s="175">
        <f t="shared" si="23"/>
        <v>0</v>
      </c>
      <c r="H67" s="284">
        <f t="shared" si="23"/>
        <v>0</v>
      </c>
      <c r="I67" s="175">
        <f t="shared" si="23"/>
        <v>0</v>
      </c>
      <c r="J67" s="175">
        <f t="shared" si="23"/>
        <v>0</v>
      </c>
      <c r="K67" s="175">
        <f t="shared" si="23"/>
        <v>0</v>
      </c>
      <c r="L67" s="375"/>
      <c r="M67" s="375"/>
      <c r="Q67" s="242"/>
    </row>
    <row r="68" spans="1:17" s="87" customFormat="1" ht="15" customHeight="1" x14ac:dyDescent="0.2">
      <c r="A68" s="376" t="s">
        <v>429</v>
      </c>
      <c r="B68" s="378" t="s">
        <v>427</v>
      </c>
      <c r="C68" s="380" t="s">
        <v>101</v>
      </c>
      <c r="D68" s="90" t="s">
        <v>31</v>
      </c>
      <c r="E68" s="174">
        <f t="shared" ref="E68:F68" si="24">SUM(E70:E70)</f>
        <v>0</v>
      </c>
      <c r="F68" s="174">
        <f t="shared" si="24"/>
        <v>0</v>
      </c>
      <c r="G68" s="174">
        <f>SUM(G69:G70)</f>
        <v>0</v>
      </c>
      <c r="H68" s="283">
        <f t="shared" ref="H68:K68" si="25">SUM(H69:H70)</f>
        <v>0</v>
      </c>
      <c r="I68" s="174">
        <f t="shared" si="25"/>
        <v>7939.2</v>
      </c>
      <c r="J68" s="174">
        <f t="shared" si="25"/>
        <v>0</v>
      </c>
      <c r="K68" s="174">
        <f t="shared" si="25"/>
        <v>0</v>
      </c>
      <c r="L68" s="374" t="s">
        <v>150</v>
      </c>
      <c r="M68" s="374"/>
      <c r="Q68" s="242"/>
    </row>
    <row r="69" spans="1:17" s="87" customFormat="1" ht="42.75" customHeight="1" x14ac:dyDescent="0.2">
      <c r="A69" s="377"/>
      <c r="B69" s="379"/>
      <c r="C69" s="381"/>
      <c r="D69" s="261" t="s">
        <v>12</v>
      </c>
      <c r="E69" s="175">
        <f>H69</f>
        <v>0</v>
      </c>
      <c r="F69" s="175">
        <f>G69+H69+I69+J69+K69</f>
        <v>7939.2</v>
      </c>
      <c r="G69" s="175">
        <v>0</v>
      </c>
      <c r="H69" s="284">
        <v>0</v>
      </c>
      <c r="I69" s="260">
        <v>7939.2</v>
      </c>
      <c r="J69" s="260">
        <v>0</v>
      </c>
      <c r="K69" s="175">
        <v>0</v>
      </c>
      <c r="L69" s="375"/>
      <c r="M69" s="375"/>
      <c r="Q69" s="242"/>
    </row>
    <row r="70" spans="1:17" s="87" customFormat="1" ht="42.75" customHeight="1" x14ac:dyDescent="0.2">
      <c r="A70" s="377"/>
      <c r="B70" s="379"/>
      <c r="C70" s="381"/>
      <c r="D70" s="258" t="s">
        <v>85</v>
      </c>
      <c r="E70" s="175">
        <f>H70</f>
        <v>0</v>
      </c>
      <c r="F70" s="175">
        <v>0</v>
      </c>
      <c r="G70" s="175">
        <v>0</v>
      </c>
      <c r="H70" s="284">
        <v>0</v>
      </c>
      <c r="I70" s="260">
        <v>0</v>
      </c>
      <c r="J70" s="260">
        <v>0</v>
      </c>
      <c r="K70" s="175">
        <v>0</v>
      </c>
      <c r="L70" s="375"/>
      <c r="M70" s="375"/>
      <c r="Q70" s="242"/>
    </row>
    <row r="71" spans="1:17" ht="15" customHeight="1" x14ac:dyDescent="0.2">
      <c r="A71" s="294"/>
      <c r="B71" s="294"/>
      <c r="C71" s="294"/>
      <c r="D71" s="402" t="s">
        <v>89</v>
      </c>
      <c r="E71" s="387">
        <f>H71</f>
        <v>64015.048420000006</v>
      </c>
      <c r="F71" s="387">
        <f>SUM(G71:K72)</f>
        <v>323766.66924000002</v>
      </c>
      <c r="G71" s="387">
        <f>G13+G47</f>
        <v>68362.120819999996</v>
      </c>
      <c r="H71" s="418">
        <f>H13+H47</f>
        <v>64015.048420000006</v>
      </c>
      <c r="I71" s="387">
        <f>I13+I47</f>
        <v>63718.299999999996</v>
      </c>
      <c r="J71" s="387">
        <f>J13+J47</f>
        <v>63835.6</v>
      </c>
      <c r="K71" s="387">
        <f>K13+K47</f>
        <v>63835.6</v>
      </c>
      <c r="L71" s="408"/>
      <c r="M71" s="417"/>
    </row>
    <row r="72" spans="1:17" ht="50.25" customHeight="1" x14ac:dyDescent="0.2">
      <c r="A72" s="294"/>
      <c r="B72" s="294"/>
      <c r="C72" s="294"/>
      <c r="D72" s="403"/>
      <c r="E72" s="387"/>
      <c r="F72" s="387"/>
      <c r="G72" s="387"/>
      <c r="H72" s="418"/>
      <c r="I72" s="387"/>
      <c r="J72" s="387"/>
      <c r="K72" s="387"/>
      <c r="L72" s="408"/>
      <c r="M72" s="417"/>
      <c r="Q72" s="68">
        <f>62905.2-H71</f>
        <v>-1109.8484200000094</v>
      </c>
    </row>
    <row r="73" spans="1:17" ht="57" customHeight="1" x14ac:dyDescent="0.2">
      <c r="A73" s="294"/>
      <c r="B73" s="294"/>
      <c r="C73" s="294"/>
      <c r="D73" s="25" t="s">
        <v>45</v>
      </c>
      <c r="E73" s="167">
        <f>H73</f>
        <v>0</v>
      </c>
      <c r="F73" s="167">
        <f>SUM(G73:K73)</f>
        <v>34363.57</v>
      </c>
      <c r="G73" s="167">
        <f>G55</f>
        <v>26424.37</v>
      </c>
      <c r="H73" s="283">
        <v>0</v>
      </c>
      <c r="I73" s="167">
        <f>I65</f>
        <v>7939.2</v>
      </c>
      <c r="J73" s="167">
        <f>J47</f>
        <v>0</v>
      </c>
      <c r="K73" s="167">
        <f>K47</f>
        <v>0</v>
      </c>
      <c r="L73" s="40"/>
      <c r="M73" s="93"/>
    </row>
    <row r="74" spans="1:17" ht="46.5" customHeight="1" x14ac:dyDescent="0.2">
      <c r="A74" s="294"/>
      <c r="B74" s="294"/>
      <c r="C74" s="294"/>
      <c r="D74" s="25" t="s">
        <v>55</v>
      </c>
      <c r="E74" s="167">
        <f>H74</f>
        <v>150000</v>
      </c>
      <c r="F74" s="167">
        <v>0</v>
      </c>
      <c r="G74" s="167">
        <v>0</v>
      </c>
      <c r="H74" s="283">
        <f>H64</f>
        <v>150000</v>
      </c>
      <c r="I74" s="167">
        <v>0</v>
      </c>
      <c r="J74" s="167">
        <v>0</v>
      </c>
      <c r="K74" s="167">
        <v>0</v>
      </c>
      <c r="L74" s="26"/>
      <c r="M74" s="93"/>
    </row>
    <row r="75" spans="1:17" ht="27.75" customHeight="1" x14ac:dyDescent="0.2">
      <c r="A75" s="419" t="s">
        <v>78</v>
      </c>
      <c r="B75" s="419"/>
      <c r="C75" s="419"/>
      <c r="D75" s="419"/>
      <c r="E75" s="419"/>
      <c r="F75" s="419"/>
      <c r="G75" s="419"/>
      <c r="H75" s="419"/>
      <c r="I75" s="419"/>
      <c r="J75" s="419"/>
      <c r="K75" s="419"/>
      <c r="L75" s="419"/>
      <c r="M75" s="419"/>
    </row>
    <row r="76" spans="1:17" s="27" customFormat="1" ht="20.25" customHeight="1" x14ac:dyDescent="0.2">
      <c r="A76" s="389" t="s">
        <v>62</v>
      </c>
      <c r="B76" s="433" t="s">
        <v>113</v>
      </c>
      <c r="C76" s="434"/>
      <c r="D76" s="21" t="s">
        <v>31</v>
      </c>
      <c r="E76" s="108">
        <f>SUM(E77)</f>
        <v>35730.096270000002</v>
      </c>
      <c r="F76" s="108">
        <f>SUM(G76:K76)</f>
        <v>176910.90922</v>
      </c>
      <c r="G76" s="108">
        <f>G77</f>
        <v>37882.112949999995</v>
      </c>
      <c r="H76" s="283">
        <f t="shared" ref="H76:K76" si="26">H77</f>
        <v>35730.096270000002</v>
      </c>
      <c r="I76" s="108">
        <f t="shared" si="26"/>
        <v>34401.700000000004</v>
      </c>
      <c r="J76" s="108">
        <f t="shared" si="26"/>
        <v>34448.5</v>
      </c>
      <c r="K76" s="108">
        <f t="shared" si="26"/>
        <v>34448.5</v>
      </c>
      <c r="L76" s="39"/>
      <c r="M76" s="39"/>
      <c r="Q76" s="243"/>
    </row>
    <row r="77" spans="1:17" s="27" customFormat="1" ht="15" customHeight="1" x14ac:dyDescent="0.2">
      <c r="A77" s="389"/>
      <c r="B77" s="435"/>
      <c r="C77" s="436"/>
      <c r="D77" s="390" t="s">
        <v>90</v>
      </c>
      <c r="E77" s="410">
        <f>H77</f>
        <v>35730.096270000002</v>
      </c>
      <c r="F77" s="409">
        <f>SUM(G77:K78)</f>
        <v>176910.90922</v>
      </c>
      <c r="G77" s="409">
        <f>G79+G81+G83+G85+G87+G89+G91+G93+G95+G97+G99+G101+G103+G105+G115+G107+G109</f>
        <v>37882.112949999995</v>
      </c>
      <c r="H77" s="392">
        <f>H79+H81+H83+H85+H87+H89+H91+H93+H95+H97+H99+H101+H103+H105+H115+H107+H109+H111+H113</f>
        <v>35730.096270000002</v>
      </c>
      <c r="I77" s="409">
        <f>I79+I81+I83+I85+I87+I89+I91+I93+I95+I97+I99+I101+I103+I105+I115</f>
        <v>34401.700000000004</v>
      </c>
      <c r="J77" s="409">
        <f>J79+J81+J83+J85+J87+J89+J91+J93+J95+J97+J99+J101+J103+J105+J115</f>
        <v>34448.5</v>
      </c>
      <c r="K77" s="409">
        <f>K79+K81+K83+K85+K87+K89+K91+K93+K95+K97+K99+K101+K103+K105+K115</f>
        <v>34448.5</v>
      </c>
      <c r="L77" s="400" t="s">
        <v>69</v>
      </c>
      <c r="M77" s="416"/>
      <c r="Q77" s="243"/>
    </row>
    <row r="78" spans="1:17" s="87" customFormat="1" ht="55.5" customHeight="1" x14ac:dyDescent="0.2">
      <c r="A78" s="389"/>
      <c r="B78" s="435"/>
      <c r="C78" s="436"/>
      <c r="D78" s="391"/>
      <c r="E78" s="411"/>
      <c r="F78" s="409"/>
      <c r="G78" s="409"/>
      <c r="H78" s="392"/>
      <c r="I78" s="409"/>
      <c r="J78" s="409"/>
      <c r="K78" s="409"/>
      <c r="L78" s="426"/>
      <c r="M78" s="416"/>
      <c r="Q78" s="242"/>
    </row>
    <row r="79" spans="1:17" s="87" customFormat="1" ht="15" customHeight="1" x14ac:dyDescent="0.2">
      <c r="A79" s="384" t="s">
        <v>32</v>
      </c>
      <c r="B79" s="369" t="s">
        <v>211</v>
      </c>
      <c r="C79" s="370" t="s">
        <v>101</v>
      </c>
      <c r="D79" s="90" t="s">
        <v>31</v>
      </c>
      <c r="E79" s="169">
        <f>SUM(E80:E80)</f>
        <v>24731.581890000001</v>
      </c>
      <c r="F79" s="169">
        <f>F80</f>
        <v>133829.58189</v>
      </c>
      <c r="G79" s="169">
        <f>G80</f>
        <v>25761.599999999999</v>
      </c>
      <c r="H79" s="286">
        <f>SUM(H80:H80)</f>
        <v>24731.581890000001</v>
      </c>
      <c r="I79" s="194">
        <f>I80</f>
        <v>27778.799999999999</v>
      </c>
      <c r="J79" s="194">
        <f>J80</f>
        <v>27778.799999999999</v>
      </c>
      <c r="K79" s="169">
        <f>K80</f>
        <v>27778.799999999999</v>
      </c>
      <c r="L79" s="374" t="s">
        <v>69</v>
      </c>
      <c r="M79" s="374" t="s">
        <v>177</v>
      </c>
      <c r="Q79" s="242">
        <f>(36406656.39/1000)-H77</f>
        <v>676.56012000000192</v>
      </c>
    </row>
    <row r="80" spans="1:17" s="87" customFormat="1" ht="102" customHeight="1" x14ac:dyDescent="0.2">
      <c r="A80" s="384"/>
      <c r="B80" s="369"/>
      <c r="C80" s="371"/>
      <c r="D80" s="88" t="s">
        <v>70</v>
      </c>
      <c r="E80" s="170">
        <f>H80</f>
        <v>24731.581890000001</v>
      </c>
      <c r="F80" s="170">
        <f t="shared" ref="F80:F93" si="27">SUM(G80:K80)</f>
        <v>133829.58189</v>
      </c>
      <c r="G80" s="170">
        <v>25761.599999999999</v>
      </c>
      <c r="H80" s="287">
        <f>24731581.89/1000</f>
        <v>24731.581890000001</v>
      </c>
      <c r="I80" s="195">
        <v>27778.799999999999</v>
      </c>
      <c r="J80" s="195">
        <v>27778.799999999999</v>
      </c>
      <c r="K80" s="170">
        <v>27778.799999999999</v>
      </c>
      <c r="L80" s="375"/>
      <c r="M80" s="382"/>
      <c r="Q80" s="242"/>
    </row>
    <row r="81" spans="1:17" s="87" customFormat="1" x14ac:dyDescent="0.2">
      <c r="A81" s="368" t="s">
        <v>33</v>
      </c>
      <c r="B81" s="369" t="s">
        <v>213</v>
      </c>
      <c r="C81" s="370" t="s">
        <v>101</v>
      </c>
      <c r="D81" s="90" t="s">
        <v>31</v>
      </c>
      <c r="E81" s="169">
        <f>SUM(E82:E82)</f>
        <v>1467.73143</v>
      </c>
      <c r="F81" s="169">
        <f t="shared" si="27"/>
        <v>6488.4314300000005</v>
      </c>
      <c r="G81" s="169">
        <f>G82</f>
        <v>1323.5</v>
      </c>
      <c r="H81" s="286">
        <f>H82</f>
        <v>1467.73143</v>
      </c>
      <c r="I81" s="194">
        <f>I82</f>
        <v>1200.4000000000001</v>
      </c>
      <c r="J81" s="194">
        <f>J82</f>
        <v>1248.4000000000001</v>
      </c>
      <c r="K81" s="169">
        <f>K82</f>
        <v>1248.4000000000001</v>
      </c>
      <c r="L81" s="374" t="s">
        <v>69</v>
      </c>
      <c r="M81" s="374" t="s">
        <v>177</v>
      </c>
      <c r="Q81" s="242"/>
    </row>
    <row r="82" spans="1:17" s="87" customFormat="1" ht="99.75" customHeight="1" x14ac:dyDescent="0.2">
      <c r="A82" s="368"/>
      <c r="B82" s="369"/>
      <c r="C82" s="371"/>
      <c r="D82" s="88" t="s">
        <v>70</v>
      </c>
      <c r="E82" s="162">
        <f>H82</f>
        <v>1467.73143</v>
      </c>
      <c r="F82" s="162">
        <f t="shared" si="27"/>
        <v>6488.4314300000005</v>
      </c>
      <c r="G82" s="162">
        <v>1323.5</v>
      </c>
      <c r="H82" s="284">
        <f>1467731.43/1000</f>
        <v>1467.73143</v>
      </c>
      <c r="I82" s="172">
        <v>1200.4000000000001</v>
      </c>
      <c r="J82" s="172">
        <v>1248.4000000000001</v>
      </c>
      <c r="K82" s="162">
        <v>1248.4000000000001</v>
      </c>
      <c r="L82" s="375"/>
      <c r="M82" s="382"/>
      <c r="Q82" s="242"/>
    </row>
    <row r="83" spans="1:17" s="87" customFormat="1" x14ac:dyDescent="0.2">
      <c r="A83" s="368" t="s">
        <v>34</v>
      </c>
      <c r="B83" s="369" t="s">
        <v>214</v>
      </c>
      <c r="C83" s="370" t="s">
        <v>101</v>
      </c>
      <c r="D83" s="90" t="s">
        <v>31</v>
      </c>
      <c r="E83" s="169">
        <f>SUM(E84:E84)</f>
        <v>304.10000000000002</v>
      </c>
      <c r="F83" s="169">
        <f t="shared" si="27"/>
        <v>662.2</v>
      </c>
      <c r="G83" s="169">
        <f>G84</f>
        <v>304.10000000000002</v>
      </c>
      <c r="H83" s="286">
        <f>H84</f>
        <v>304.10000000000002</v>
      </c>
      <c r="I83" s="194">
        <f>I84</f>
        <v>18</v>
      </c>
      <c r="J83" s="194">
        <f>J84</f>
        <v>18</v>
      </c>
      <c r="K83" s="169">
        <f>K84</f>
        <v>18</v>
      </c>
      <c r="L83" s="374" t="s">
        <v>69</v>
      </c>
      <c r="M83" s="374" t="s">
        <v>177</v>
      </c>
      <c r="Q83" s="242"/>
    </row>
    <row r="84" spans="1:17" s="87" customFormat="1" ht="78" customHeight="1" x14ac:dyDescent="0.2">
      <c r="A84" s="368"/>
      <c r="B84" s="369"/>
      <c r="C84" s="371"/>
      <c r="D84" s="88" t="s">
        <v>70</v>
      </c>
      <c r="E84" s="162">
        <f>H84</f>
        <v>304.10000000000002</v>
      </c>
      <c r="F84" s="162">
        <f t="shared" si="27"/>
        <v>662.2</v>
      </c>
      <c r="G84" s="162">
        <v>304.10000000000002</v>
      </c>
      <c r="H84" s="284">
        <v>304.10000000000002</v>
      </c>
      <c r="I84" s="172">
        <v>18</v>
      </c>
      <c r="J84" s="172">
        <v>18</v>
      </c>
      <c r="K84" s="162">
        <v>18</v>
      </c>
      <c r="L84" s="375"/>
      <c r="M84" s="382"/>
      <c r="Q84" s="242"/>
    </row>
    <row r="85" spans="1:17" s="87" customFormat="1" x14ac:dyDescent="0.2">
      <c r="A85" s="368" t="s">
        <v>71</v>
      </c>
      <c r="B85" s="369" t="s">
        <v>215</v>
      </c>
      <c r="C85" s="370" t="s">
        <v>101</v>
      </c>
      <c r="D85" s="90" t="s">
        <v>31</v>
      </c>
      <c r="E85" s="169">
        <f>SUM(E86:E86)</f>
        <v>172.11217000000002</v>
      </c>
      <c r="F85" s="169">
        <f t="shared" si="27"/>
        <v>18251.872169999999</v>
      </c>
      <c r="G85" s="169">
        <f>G86</f>
        <v>4820.3599999999997</v>
      </c>
      <c r="H85" s="286">
        <f>H86</f>
        <v>172.11217000000002</v>
      </c>
      <c r="I85" s="194">
        <f>I86</f>
        <v>4420.6000000000004</v>
      </c>
      <c r="J85" s="194">
        <f>J86</f>
        <v>4419.3999999999996</v>
      </c>
      <c r="K85" s="169">
        <f>K86</f>
        <v>4419.3999999999996</v>
      </c>
      <c r="L85" s="374" t="s">
        <v>69</v>
      </c>
      <c r="M85" s="374" t="s">
        <v>159</v>
      </c>
      <c r="Q85" s="242"/>
    </row>
    <row r="86" spans="1:17" s="87" customFormat="1" ht="107.25" customHeight="1" x14ac:dyDescent="0.2">
      <c r="A86" s="368"/>
      <c r="B86" s="369"/>
      <c r="C86" s="371"/>
      <c r="D86" s="88" t="s">
        <v>70</v>
      </c>
      <c r="E86" s="162">
        <f>H86</f>
        <v>172.11217000000002</v>
      </c>
      <c r="F86" s="162">
        <f t="shared" si="27"/>
        <v>18251.872169999999</v>
      </c>
      <c r="G86" s="162">
        <f>4820360/1000</f>
        <v>4820.3599999999997</v>
      </c>
      <c r="H86" s="284">
        <f>172112.17/1000</f>
        <v>172.11217000000002</v>
      </c>
      <c r="I86" s="172">
        <f>4420600/1000</f>
        <v>4420.6000000000004</v>
      </c>
      <c r="J86" s="172">
        <v>4419.3999999999996</v>
      </c>
      <c r="K86" s="162">
        <v>4419.3999999999996</v>
      </c>
      <c r="L86" s="375"/>
      <c r="M86" s="382"/>
      <c r="Q86" s="242"/>
    </row>
    <row r="87" spans="1:17" s="87" customFormat="1" x14ac:dyDescent="0.2">
      <c r="A87" s="368" t="s">
        <v>72</v>
      </c>
      <c r="B87" s="369" t="s">
        <v>216</v>
      </c>
      <c r="C87" s="370" t="s">
        <v>101</v>
      </c>
      <c r="D87" s="90" t="s">
        <v>31</v>
      </c>
      <c r="E87" s="169">
        <f>SUM(E88:E88)</f>
        <v>450.32</v>
      </c>
      <c r="F87" s="169">
        <f t="shared" si="27"/>
        <v>1419.82</v>
      </c>
      <c r="G87" s="169">
        <f>G88</f>
        <v>924.5</v>
      </c>
      <c r="H87" s="286">
        <f>H88</f>
        <v>450.32</v>
      </c>
      <c r="I87" s="194">
        <f>I88</f>
        <v>15</v>
      </c>
      <c r="J87" s="194">
        <f>J88</f>
        <v>15</v>
      </c>
      <c r="K87" s="169">
        <f>K88</f>
        <v>15</v>
      </c>
      <c r="L87" s="374" t="s">
        <v>69</v>
      </c>
      <c r="M87" s="374" t="s">
        <v>159</v>
      </c>
      <c r="Q87" s="242"/>
    </row>
    <row r="88" spans="1:17" s="87" customFormat="1" ht="93" customHeight="1" x14ac:dyDescent="0.2">
      <c r="A88" s="368"/>
      <c r="B88" s="369"/>
      <c r="C88" s="371"/>
      <c r="D88" s="88" t="s">
        <v>70</v>
      </c>
      <c r="E88" s="162">
        <f>H88</f>
        <v>450.32</v>
      </c>
      <c r="F88" s="162">
        <f t="shared" si="27"/>
        <v>1419.82</v>
      </c>
      <c r="G88" s="162">
        <f>924500/1000</f>
        <v>924.5</v>
      </c>
      <c r="H88" s="284">
        <f>450320/1000</f>
        <v>450.32</v>
      </c>
      <c r="I88" s="172">
        <v>15</v>
      </c>
      <c r="J88" s="172">
        <v>15</v>
      </c>
      <c r="K88" s="162">
        <v>15</v>
      </c>
      <c r="L88" s="375"/>
      <c r="M88" s="382"/>
      <c r="Q88" s="242"/>
    </row>
    <row r="89" spans="1:17" s="87" customFormat="1" ht="15.75" customHeight="1" x14ac:dyDescent="0.2">
      <c r="A89" s="368" t="s">
        <v>73</v>
      </c>
      <c r="B89" s="369" t="s">
        <v>217</v>
      </c>
      <c r="C89" s="370" t="s">
        <v>101</v>
      </c>
      <c r="D89" s="90" t="s">
        <v>31</v>
      </c>
      <c r="E89" s="169">
        <f>SUM(E90:E90)</f>
        <v>10</v>
      </c>
      <c r="F89" s="163">
        <f t="shared" si="27"/>
        <v>35</v>
      </c>
      <c r="G89" s="163">
        <f>G90</f>
        <v>25</v>
      </c>
      <c r="H89" s="283">
        <f>H90</f>
        <v>10</v>
      </c>
      <c r="I89" s="108">
        <f>I90</f>
        <v>0</v>
      </c>
      <c r="J89" s="108">
        <f>J90</f>
        <v>0</v>
      </c>
      <c r="K89" s="163">
        <f>K90</f>
        <v>0</v>
      </c>
      <c r="L89" s="374" t="s">
        <v>69</v>
      </c>
      <c r="M89" s="374" t="s">
        <v>162</v>
      </c>
      <c r="Q89" s="242"/>
    </row>
    <row r="90" spans="1:17" s="87" customFormat="1" ht="62.25" customHeight="1" x14ac:dyDescent="0.2">
      <c r="A90" s="368"/>
      <c r="B90" s="369"/>
      <c r="C90" s="371"/>
      <c r="D90" s="88" t="s">
        <v>70</v>
      </c>
      <c r="E90" s="175">
        <f>H90</f>
        <v>10</v>
      </c>
      <c r="F90" s="162">
        <f t="shared" si="27"/>
        <v>35</v>
      </c>
      <c r="G90" s="162">
        <v>25</v>
      </c>
      <c r="H90" s="284">
        <v>10</v>
      </c>
      <c r="I90" s="172">
        <v>0</v>
      </c>
      <c r="J90" s="172">
        <v>0</v>
      </c>
      <c r="K90" s="162">
        <v>0</v>
      </c>
      <c r="L90" s="375"/>
      <c r="M90" s="382"/>
      <c r="Q90" s="242"/>
    </row>
    <row r="91" spans="1:17" s="87" customFormat="1" ht="15.75" customHeight="1" x14ac:dyDescent="0.2">
      <c r="A91" s="368" t="s">
        <v>74</v>
      </c>
      <c r="B91" s="369" t="s">
        <v>218</v>
      </c>
      <c r="C91" s="380" t="s">
        <v>101</v>
      </c>
      <c r="D91" s="90" t="s">
        <v>31</v>
      </c>
      <c r="E91" s="169">
        <f>SUM(E92:E92)</f>
        <v>34.5</v>
      </c>
      <c r="F91" s="163">
        <f t="shared" si="27"/>
        <v>220</v>
      </c>
      <c r="G91" s="163">
        <f>G92</f>
        <v>29.5</v>
      </c>
      <c r="H91" s="283">
        <f>H92</f>
        <v>34.5</v>
      </c>
      <c r="I91" s="108">
        <f>I92</f>
        <v>52</v>
      </c>
      <c r="J91" s="108">
        <f>J92</f>
        <v>52</v>
      </c>
      <c r="K91" s="163">
        <f>K92</f>
        <v>52</v>
      </c>
      <c r="L91" s="374" t="s">
        <v>69</v>
      </c>
      <c r="M91" s="374" t="s">
        <v>178</v>
      </c>
      <c r="Q91" s="242"/>
    </row>
    <row r="92" spans="1:17" s="87" customFormat="1" ht="48" customHeight="1" x14ac:dyDescent="0.2">
      <c r="A92" s="368"/>
      <c r="B92" s="369"/>
      <c r="C92" s="385"/>
      <c r="D92" s="88" t="s">
        <v>70</v>
      </c>
      <c r="E92" s="175">
        <f>H92</f>
        <v>34.5</v>
      </c>
      <c r="F92" s="162">
        <f>SUM(G92:K92)</f>
        <v>220</v>
      </c>
      <c r="G92" s="162">
        <f>29500/1000</f>
        <v>29.5</v>
      </c>
      <c r="H92" s="284">
        <f>34500/1000</f>
        <v>34.5</v>
      </c>
      <c r="I92" s="172">
        <v>52</v>
      </c>
      <c r="J92" s="172">
        <v>52</v>
      </c>
      <c r="K92" s="162">
        <v>52</v>
      </c>
      <c r="L92" s="375"/>
      <c r="M92" s="382"/>
      <c r="Q92" s="242"/>
    </row>
    <row r="93" spans="1:17" s="87" customFormat="1" ht="15.75" customHeight="1" x14ac:dyDescent="0.2">
      <c r="A93" s="368" t="s">
        <v>105</v>
      </c>
      <c r="B93" s="369" t="s">
        <v>219</v>
      </c>
      <c r="C93" s="370" t="s">
        <v>101</v>
      </c>
      <c r="D93" s="90" t="s">
        <v>31</v>
      </c>
      <c r="E93" s="169">
        <f>SUM(E94:E94)</f>
        <v>62.8</v>
      </c>
      <c r="F93" s="163">
        <f t="shared" si="27"/>
        <v>232.8</v>
      </c>
      <c r="G93" s="163">
        <f>G94</f>
        <v>80</v>
      </c>
      <c r="H93" s="283">
        <f>H94</f>
        <v>62.8</v>
      </c>
      <c r="I93" s="108">
        <f>I94</f>
        <v>30</v>
      </c>
      <c r="J93" s="108">
        <f>J94</f>
        <v>30</v>
      </c>
      <c r="K93" s="163">
        <f>K94</f>
        <v>30</v>
      </c>
      <c r="L93" s="374" t="s">
        <v>69</v>
      </c>
      <c r="M93" s="374" t="s">
        <v>163</v>
      </c>
      <c r="Q93" s="242"/>
    </row>
    <row r="94" spans="1:17" s="87" customFormat="1" ht="87.75" customHeight="1" x14ac:dyDescent="0.2">
      <c r="A94" s="368"/>
      <c r="B94" s="369"/>
      <c r="C94" s="371"/>
      <c r="D94" s="88" t="s">
        <v>70</v>
      </c>
      <c r="E94" s="175">
        <f>H94</f>
        <v>62.8</v>
      </c>
      <c r="F94" s="162">
        <f t="shared" ref="F94:F117" si="28">SUM(G94:K94)</f>
        <v>232.8</v>
      </c>
      <c r="G94" s="162">
        <v>80</v>
      </c>
      <c r="H94" s="284">
        <f>62800/1000</f>
        <v>62.8</v>
      </c>
      <c r="I94" s="172">
        <v>30</v>
      </c>
      <c r="J94" s="172">
        <v>30</v>
      </c>
      <c r="K94" s="162">
        <v>30</v>
      </c>
      <c r="L94" s="375"/>
      <c r="M94" s="382"/>
      <c r="Q94" s="242"/>
    </row>
    <row r="95" spans="1:17" s="87" customFormat="1" ht="15.75" customHeight="1" x14ac:dyDescent="0.2">
      <c r="A95" s="368" t="s">
        <v>106</v>
      </c>
      <c r="B95" s="369" t="s">
        <v>220</v>
      </c>
      <c r="C95" s="370" t="s">
        <v>101</v>
      </c>
      <c r="D95" s="90" t="s">
        <v>31</v>
      </c>
      <c r="E95" s="169">
        <f>SUM(E96:E96)</f>
        <v>192.08</v>
      </c>
      <c r="F95" s="163">
        <f t="shared" si="28"/>
        <v>1530.6480000000001</v>
      </c>
      <c r="G95" s="163">
        <f>G96</f>
        <v>1077.8679999999999</v>
      </c>
      <c r="H95" s="283">
        <f>H96</f>
        <v>192.08</v>
      </c>
      <c r="I95" s="108">
        <f>I96</f>
        <v>86.9</v>
      </c>
      <c r="J95" s="108">
        <f>J96</f>
        <v>86.9</v>
      </c>
      <c r="K95" s="163">
        <f>K96</f>
        <v>86.9</v>
      </c>
      <c r="L95" s="374" t="s">
        <v>69</v>
      </c>
      <c r="M95" s="374" t="s">
        <v>168</v>
      </c>
      <c r="Q95" s="242"/>
    </row>
    <row r="96" spans="1:17" s="87" customFormat="1" ht="61.5" customHeight="1" x14ac:dyDescent="0.2">
      <c r="A96" s="368"/>
      <c r="B96" s="369"/>
      <c r="C96" s="371"/>
      <c r="D96" s="88" t="s">
        <v>70</v>
      </c>
      <c r="E96" s="175">
        <f>H96</f>
        <v>192.08</v>
      </c>
      <c r="F96" s="162">
        <f t="shared" si="28"/>
        <v>1530.6480000000001</v>
      </c>
      <c r="G96" s="162">
        <f>(787500+221368+69000)/1000</f>
        <v>1077.8679999999999</v>
      </c>
      <c r="H96" s="284">
        <f>192080/1000</f>
        <v>192.08</v>
      </c>
      <c r="I96" s="172">
        <v>86.9</v>
      </c>
      <c r="J96" s="172">
        <v>86.9</v>
      </c>
      <c r="K96" s="162">
        <v>86.9</v>
      </c>
      <c r="L96" s="382"/>
      <c r="M96" s="382"/>
      <c r="Q96" s="242"/>
    </row>
    <row r="97" spans="1:17" s="87" customFormat="1" ht="15.75" x14ac:dyDescent="0.2">
      <c r="A97" s="368" t="s">
        <v>137</v>
      </c>
      <c r="B97" s="369" t="s">
        <v>222</v>
      </c>
      <c r="C97" s="370" t="s">
        <v>101</v>
      </c>
      <c r="D97" s="90" t="s">
        <v>31</v>
      </c>
      <c r="E97" s="169">
        <f>SUM(E98:E98)</f>
        <v>890.85</v>
      </c>
      <c r="F97" s="163">
        <f t="shared" si="28"/>
        <v>2074.8636799999999</v>
      </c>
      <c r="G97" s="163">
        <f>G98</f>
        <v>284.01367999999997</v>
      </c>
      <c r="H97" s="283">
        <f>H98</f>
        <v>890.85</v>
      </c>
      <c r="I97" s="108">
        <f>I98</f>
        <v>300</v>
      </c>
      <c r="J97" s="108">
        <f>J98</f>
        <v>300</v>
      </c>
      <c r="K97" s="163">
        <f t="shared" ref="K97:K115" si="29">K98</f>
        <v>300</v>
      </c>
      <c r="L97" s="372" t="s">
        <v>69</v>
      </c>
      <c r="M97" s="374" t="s">
        <v>164</v>
      </c>
      <c r="Q97" s="242"/>
    </row>
    <row r="98" spans="1:17" s="87" customFormat="1" ht="84" customHeight="1" x14ac:dyDescent="0.2">
      <c r="A98" s="368"/>
      <c r="B98" s="369"/>
      <c r="C98" s="371"/>
      <c r="D98" s="88" t="s">
        <v>70</v>
      </c>
      <c r="E98" s="175">
        <f>H98</f>
        <v>890.85</v>
      </c>
      <c r="F98" s="162">
        <f t="shared" si="28"/>
        <v>2074.8636799999999</v>
      </c>
      <c r="G98" s="162">
        <f>284013.68/1000</f>
        <v>284.01367999999997</v>
      </c>
      <c r="H98" s="284">
        <f>890850/1000</f>
        <v>890.85</v>
      </c>
      <c r="I98" s="172">
        <v>300</v>
      </c>
      <c r="J98" s="172">
        <v>300</v>
      </c>
      <c r="K98" s="162">
        <v>300</v>
      </c>
      <c r="L98" s="373"/>
      <c r="M98" s="375"/>
      <c r="Q98" s="242"/>
    </row>
    <row r="99" spans="1:17" s="87" customFormat="1" ht="18.75" customHeight="1" x14ac:dyDescent="0.2">
      <c r="A99" s="368" t="s">
        <v>138</v>
      </c>
      <c r="B99" s="369" t="s">
        <v>223</v>
      </c>
      <c r="C99" s="370" t="s">
        <v>101</v>
      </c>
      <c r="D99" s="90" t="s">
        <v>31</v>
      </c>
      <c r="E99" s="163">
        <f>E100</f>
        <v>2522.7132799999999</v>
      </c>
      <c r="F99" s="163">
        <f t="shared" si="28"/>
        <v>3603.3132799999998</v>
      </c>
      <c r="G99" s="163">
        <f>G100</f>
        <v>180.6</v>
      </c>
      <c r="H99" s="283">
        <f>H100</f>
        <v>2522.7132799999999</v>
      </c>
      <c r="I99" s="108">
        <f>I100</f>
        <v>300</v>
      </c>
      <c r="J99" s="108">
        <f>J100</f>
        <v>300</v>
      </c>
      <c r="K99" s="163">
        <f t="shared" si="29"/>
        <v>300</v>
      </c>
      <c r="L99" s="372" t="s">
        <v>69</v>
      </c>
      <c r="M99" s="374" t="s">
        <v>165</v>
      </c>
      <c r="Q99" s="242"/>
    </row>
    <row r="100" spans="1:17" s="87" customFormat="1" ht="56.25" customHeight="1" x14ac:dyDescent="0.2">
      <c r="A100" s="368"/>
      <c r="B100" s="369"/>
      <c r="C100" s="371"/>
      <c r="D100" s="88" t="s">
        <v>70</v>
      </c>
      <c r="E100" s="175">
        <f>H100</f>
        <v>2522.7132799999999</v>
      </c>
      <c r="F100" s="162">
        <f t="shared" si="28"/>
        <v>3603.3132799999998</v>
      </c>
      <c r="G100" s="162">
        <f>180600/1000</f>
        <v>180.6</v>
      </c>
      <c r="H100" s="284">
        <f>2522713.28/1000</f>
        <v>2522.7132799999999</v>
      </c>
      <c r="I100" s="172">
        <v>300</v>
      </c>
      <c r="J100" s="172">
        <v>300</v>
      </c>
      <c r="K100" s="162">
        <v>300</v>
      </c>
      <c r="L100" s="373"/>
      <c r="M100" s="375"/>
      <c r="Q100" s="242"/>
    </row>
    <row r="101" spans="1:17" s="87" customFormat="1" ht="18.75" customHeight="1" x14ac:dyDescent="0.2">
      <c r="A101" s="368" t="s">
        <v>139</v>
      </c>
      <c r="B101" s="445" t="s">
        <v>224</v>
      </c>
      <c r="C101" s="370" t="s">
        <v>101</v>
      </c>
      <c r="D101" s="90" t="s">
        <v>31</v>
      </c>
      <c r="E101" s="163">
        <f>E102</f>
        <v>141.3245</v>
      </c>
      <c r="F101" s="163">
        <f t="shared" si="28"/>
        <v>921.32449999999994</v>
      </c>
      <c r="G101" s="163">
        <f>G102</f>
        <v>180</v>
      </c>
      <c r="H101" s="283">
        <f>H102</f>
        <v>141.3245</v>
      </c>
      <c r="I101" s="108">
        <f>I102</f>
        <v>200</v>
      </c>
      <c r="J101" s="108">
        <f>J102</f>
        <v>200</v>
      </c>
      <c r="K101" s="163">
        <f t="shared" si="29"/>
        <v>200</v>
      </c>
      <c r="L101" s="386" t="s">
        <v>69</v>
      </c>
      <c r="M101" s="374" t="s">
        <v>174</v>
      </c>
      <c r="Q101" s="242"/>
    </row>
    <row r="102" spans="1:17" s="87" customFormat="1" ht="60" customHeight="1" x14ac:dyDescent="0.2">
      <c r="A102" s="368"/>
      <c r="B102" s="415"/>
      <c r="C102" s="371"/>
      <c r="D102" s="88" t="s">
        <v>70</v>
      </c>
      <c r="E102" s="162">
        <f>H102</f>
        <v>141.3245</v>
      </c>
      <c r="F102" s="162">
        <f t="shared" si="28"/>
        <v>921.32449999999994</v>
      </c>
      <c r="G102" s="162">
        <f>180000/1000</f>
        <v>180</v>
      </c>
      <c r="H102" s="284">
        <f>141324.5/1000</f>
        <v>141.3245</v>
      </c>
      <c r="I102" s="172">
        <v>200</v>
      </c>
      <c r="J102" s="172">
        <v>200</v>
      </c>
      <c r="K102" s="162">
        <v>200</v>
      </c>
      <c r="L102" s="386"/>
      <c r="M102" s="382"/>
      <c r="Q102" s="242"/>
    </row>
    <row r="103" spans="1:17" s="87" customFormat="1" ht="18.75" customHeight="1" x14ac:dyDescent="0.2">
      <c r="A103" s="376" t="s">
        <v>140</v>
      </c>
      <c r="B103" s="445" t="s">
        <v>188</v>
      </c>
      <c r="C103" s="370" t="s">
        <v>101</v>
      </c>
      <c r="D103" s="90" t="s">
        <v>31</v>
      </c>
      <c r="E103" s="163">
        <f>E104</f>
        <v>0</v>
      </c>
      <c r="F103" s="163">
        <f t="shared" si="28"/>
        <v>291.44900000000001</v>
      </c>
      <c r="G103" s="163">
        <f>G104</f>
        <v>291.44900000000001</v>
      </c>
      <c r="H103" s="283">
        <f>H104</f>
        <v>0</v>
      </c>
      <c r="I103" s="108">
        <f>I104</f>
        <v>0</v>
      </c>
      <c r="J103" s="108">
        <f>J104</f>
        <v>0</v>
      </c>
      <c r="K103" s="163">
        <f t="shared" si="29"/>
        <v>0</v>
      </c>
      <c r="L103" s="386" t="s">
        <v>69</v>
      </c>
      <c r="M103" s="374" t="s">
        <v>197</v>
      </c>
      <c r="Q103" s="242"/>
    </row>
    <row r="104" spans="1:17" s="87" customFormat="1" ht="49.5" customHeight="1" x14ac:dyDescent="0.2">
      <c r="A104" s="397"/>
      <c r="B104" s="415"/>
      <c r="C104" s="371"/>
      <c r="D104" s="88" t="s">
        <v>70</v>
      </c>
      <c r="E104" s="175">
        <f>H104</f>
        <v>0</v>
      </c>
      <c r="F104" s="162">
        <f t="shared" si="28"/>
        <v>291.44900000000001</v>
      </c>
      <c r="G104" s="162">
        <f>291449/1000</f>
        <v>291.44900000000001</v>
      </c>
      <c r="H104" s="284">
        <v>0</v>
      </c>
      <c r="I104" s="172">
        <v>0</v>
      </c>
      <c r="J104" s="172">
        <v>0</v>
      </c>
      <c r="K104" s="162">
        <v>0</v>
      </c>
      <c r="L104" s="386"/>
      <c r="M104" s="382"/>
      <c r="Q104" s="242"/>
    </row>
    <row r="105" spans="1:17" s="87" customFormat="1" ht="18.75" customHeight="1" x14ac:dyDescent="0.2">
      <c r="A105" s="376" t="s">
        <v>141</v>
      </c>
      <c r="B105" s="445" t="s">
        <v>190</v>
      </c>
      <c r="C105" s="370" t="s">
        <v>101</v>
      </c>
      <c r="D105" s="90" t="s">
        <v>31</v>
      </c>
      <c r="E105" s="163">
        <f>E106</f>
        <v>78</v>
      </c>
      <c r="F105" s="163">
        <f t="shared" si="28"/>
        <v>88.031999999999996</v>
      </c>
      <c r="G105" s="163">
        <f>G106</f>
        <v>10.032</v>
      </c>
      <c r="H105" s="283">
        <f>H106</f>
        <v>78</v>
      </c>
      <c r="I105" s="108">
        <f>I106</f>
        <v>0</v>
      </c>
      <c r="J105" s="108">
        <f>J106</f>
        <v>0</v>
      </c>
      <c r="K105" s="163">
        <f t="shared" si="29"/>
        <v>0</v>
      </c>
      <c r="L105" s="386" t="s">
        <v>69</v>
      </c>
      <c r="M105" s="374" t="s">
        <v>198</v>
      </c>
      <c r="Q105" s="242"/>
    </row>
    <row r="106" spans="1:17" s="87" customFormat="1" ht="70.5" customHeight="1" x14ac:dyDescent="0.2">
      <c r="A106" s="397"/>
      <c r="B106" s="415"/>
      <c r="C106" s="371"/>
      <c r="D106" s="88" t="s">
        <v>70</v>
      </c>
      <c r="E106" s="162">
        <f>H106</f>
        <v>78</v>
      </c>
      <c r="F106" s="162">
        <f t="shared" si="28"/>
        <v>88.031999999999996</v>
      </c>
      <c r="G106" s="162">
        <f>10032/1000</f>
        <v>10.032</v>
      </c>
      <c r="H106" s="284">
        <f>78000/1000</f>
        <v>78</v>
      </c>
      <c r="I106" s="172">
        <v>0</v>
      </c>
      <c r="J106" s="172">
        <v>0</v>
      </c>
      <c r="K106" s="162">
        <v>0</v>
      </c>
      <c r="L106" s="386"/>
      <c r="M106" s="382"/>
      <c r="Q106" s="242"/>
    </row>
    <row r="107" spans="1:17" s="87" customFormat="1" ht="18.75" customHeight="1" x14ac:dyDescent="0.2">
      <c r="A107" s="376" t="s">
        <v>142</v>
      </c>
      <c r="B107" s="445" t="s">
        <v>191</v>
      </c>
      <c r="C107" s="370" t="s">
        <v>101</v>
      </c>
      <c r="D107" s="90" t="s">
        <v>31</v>
      </c>
      <c r="E107" s="163">
        <f>E108</f>
        <v>0</v>
      </c>
      <c r="F107" s="163">
        <f t="shared" ref="F107:F108" si="30">SUM(G107:K107)</f>
        <v>90</v>
      </c>
      <c r="G107" s="163">
        <f>G108</f>
        <v>90</v>
      </c>
      <c r="H107" s="283">
        <f>H108</f>
        <v>0</v>
      </c>
      <c r="I107" s="108">
        <f>I108</f>
        <v>0</v>
      </c>
      <c r="J107" s="108">
        <f>J108</f>
        <v>0</v>
      </c>
      <c r="K107" s="163">
        <f t="shared" si="29"/>
        <v>0</v>
      </c>
      <c r="L107" s="386" t="s">
        <v>69</v>
      </c>
      <c r="M107" s="374" t="s">
        <v>199</v>
      </c>
      <c r="Q107" s="242"/>
    </row>
    <row r="108" spans="1:17" s="87" customFormat="1" ht="49.5" customHeight="1" x14ac:dyDescent="0.2">
      <c r="A108" s="397"/>
      <c r="B108" s="415"/>
      <c r="C108" s="371"/>
      <c r="D108" s="98" t="s">
        <v>70</v>
      </c>
      <c r="E108" s="162">
        <f>H108</f>
        <v>0</v>
      </c>
      <c r="F108" s="162">
        <f t="shared" si="30"/>
        <v>90</v>
      </c>
      <c r="G108" s="162">
        <v>90</v>
      </c>
      <c r="H108" s="284">
        <v>0</v>
      </c>
      <c r="I108" s="172">
        <v>0</v>
      </c>
      <c r="J108" s="172">
        <v>0</v>
      </c>
      <c r="K108" s="162">
        <v>0</v>
      </c>
      <c r="L108" s="386"/>
      <c r="M108" s="382"/>
      <c r="Q108" s="242"/>
    </row>
    <row r="109" spans="1:17" s="87" customFormat="1" ht="18.75" customHeight="1" x14ac:dyDescent="0.2">
      <c r="A109" s="446" t="s">
        <v>202</v>
      </c>
      <c r="B109" s="378" t="s">
        <v>272</v>
      </c>
      <c r="C109" s="443" t="s">
        <v>101</v>
      </c>
      <c r="D109" s="90" t="s">
        <v>31</v>
      </c>
      <c r="E109" s="163">
        <f>E110</f>
        <v>0</v>
      </c>
      <c r="F109" s="163">
        <f t="shared" ref="F109:F110" si="31">SUM(G109:K109)</f>
        <v>2499.5902700000001</v>
      </c>
      <c r="G109" s="163">
        <f>G110</f>
        <v>2499.5902700000001</v>
      </c>
      <c r="H109" s="283">
        <f>H110</f>
        <v>0</v>
      </c>
      <c r="I109" s="108">
        <f>I110</f>
        <v>0</v>
      </c>
      <c r="J109" s="108">
        <f>J110</f>
        <v>0</v>
      </c>
      <c r="K109" s="163">
        <f t="shared" si="29"/>
        <v>0</v>
      </c>
      <c r="L109" s="386" t="s">
        <v>69</v>
      </c>
      <c r="M109" s="374" t="s">
        <v>278</v>
      </c>
      <c r="Q109" s="242"/>
    </row>
    <row r="110" spans="1:17" s="87" customFormat="1" ht="59.25" customHeight="1" x14ac:dyDescent="0.2">
      <c r="A110" s="447"/>
      <c r="B110" s="388"/>
      <c r="C110" s="444"/>
      <c r="D110" s="144" t="s">
        <v>70</v>
      </c>
      <c r="E110" s="162">
        <f>H110</f>
        <v>0</v>
      </c>
      <c r="F110" s="162">
        <f t="shared" si="31"/>
        <v>2499.5902700000001</v>
      </c>
      <c r="G110" s="162">
        <f>2499590.27/1000</f>
        <v>2499.5902700000001</v>
      </c>
      <c r="H110" s="284">
        <v>0</v>
      </c>
      <c r="I110" s="172">
        <v>0</v>
      </c>
      <c r="J110" s="172">
        <v>0</v>
      </c>
      <c r="K110" s="162">
        <v>0</v>
      </c>
      <c r="L110" s="386"/>
      <c r="M110" s="382"/>
      <c r="Q110" s="242"/>
    </row>
    <row r="111" spans="1:17" s="87" customFormat="1" ht="18.75" customHeight="1" x14ac:dyDescent="0.2">
      <c r="A111" s="446" t="s">
        <v>289</v>
      </c>
      <c r="B111" s="378" t="s">
        <v>359</v>
      </c>
      <c r="C111" s="443" t="s">
        <v>101</v>
      </c>
      <c r="D111" s="90" t="s">
        <v>31</v>
      </c>
      <c r="E111" s="174">
        <f>E112</f>
        <v>29.882999999999999</v>
      </c>
      <c r="F111" s="174">
        <f t="shared" ref="F111:F112" si="32">SUM(G111:K111)</f>
        <v>29.882999999999999</v>
      </c>
      <c r="G111" s="174">
        <f>G112</f>
        <v>0</v>
      </c>
      <c r="H111" s="283">
        <f>H112</f>
        <v>29.882999999999999</v>
      </c>
      <c r="I111" s="108">
        <f>I112</f>
        <v>0</v>
      </c>
      <c r="J111" s="108">
        <f>J112</f>
        <v>0</v>
      </c>
      <c r="K111" s="174">
        <f t="shared" si="29"/>
        <v>0</v>
      </c>
      <c r="L111" s="386" t="s">
        <v>69</v>
      </c>
      <c r="M111" s="374" t="s">
        <v>176</v>
      </c>
      <c r="Q111" s="242"/>
    </row>
    <row r="112" spans="1:17" s="87" customFormat="1" ht="108" customHeight="1" x14ac:dyDescent="0.2">
      <c r="A112" s="447"/>
      <c r="B112" s="388"/>
      <c r="C112" s="444"/>
      <c r="D112" s="159" t="s">
        <v>70</v>
      </c>
      <c r="E112" s="175">
        <f>H112</f>
        <v>29.882999999999999</v>
      </c>
      <c r="F112" s="175">
        <f t="shared" si="32"/>
        <v>29.882999999999999</v>
      </c>
      <c r="G112" s="175">
        <v>0</v>
      </c>
      <c r="H112" s="284">
        <f>29883/1000</f>
        <v>29.882999999999999</v>
      </c>
      <c r="I112" s="172">
        <v>0</v>
      </c>
      <c r="J112" s="172">
        <v>0</v>
      </c>
      <c r="K112" s="175">
        <v>0</v>
      </c>
      <c r="L112" s="386"/>
      <c r="M112" s="382"/>
      <c r="Q112" s="242"/>
    </row>
    <row r="113" spans="1:18" s="87" customFormat="1" ht="18.75" customHeight="1" x14ac:dyDescent="0.2">
      <c r="A113" s="446" t="s">
        <v>290</v>
      </c>
      <c r="B113" s="378" t="s">
        <v>364</v>
      </c>
      <c r="C113" s="443" t="s">
        <v>101</v>
      </c>
      <c r="D113" s="90" t="s">
        <v>31</v>
      </c>
      <c r="E113" s="174">
        <f>E114</f>
        <v>4625.7</v>
      </c>
      <c r="F113" s="174">
        <f t="shared" ref="F113:F114" si="33">SUM(G113:K113)</f>
        <v>4625.7</v>
      </c>
      <c r="G113" s="174">
        <f>G114</f>
        <v>0</v>
      </c>
      <c r="H113" s="283">
        <f>H114</f>
        <v>4625.7</v>
      </c>
      <c r="I113" s="228">
        <f>I114</f>
        <v>0</v>
      </c>
      <c r="J113" s="228">
        <f>J114</f>
        <v>0</v>
      </c>
      <c r="K113" s="174">
        <f t="shared" si="29"/>
        <v>0</v>
      </c>
      <c r="L113" s="386" t="s">
        <v>69</v>
      </c>
      <c r="M113" s="374" t="s">
        <v>446</v>
      </c>
      <c r="Q113" s="242"/>
    </row>
    <row r="114" spans="1:18" s="87" customFormat="1" ht="120.75" customHeight="1" x14ac:dyDescent="0.2">
      <c r="A114" s="447"/>
      <c r="B114" s="388"/>
      <c r="C114" s="444"/>
      <c r="D114" s="276" t="s">
        <v>70</v>
      </c>
      <c r="E114" s="175">
        <f>H114</f>
        <v>4625.7</v>
      </c>
      <c r="F114" s="175">
        <f t="shared" si="33"/>
        <v>4625.7</v>
      </c>
      <c r="G114" s="175">
        <v>0</v>
      </c>
      <c r="H114" s="284">
        <f>4625700/1000</f>
        <v>4625.7</v>
      </c>
      <c r="I114" s="275">
        <v>0</v>
      </c>
      <c r="J114" s="275">
        <v>0</v>
      </c>
      <c r="K114" s="175">
        <v>0</v>
      </c>
      <c r="L114" s="386"/>
      <c r="M114" s="382"/>
      <c r="Q114" s="242"/>
    </row>
    <row r="115" spans="1:18" s="87" customFormat="1" ht="18.75" customHeight="1" x14ac:dyDescent="0.2">
      <c r="A115" s="446" t="s">
        <v>291</v>
      </c>
      <c r="B115" s="378" t="s">
        <v>454</v>
      </c>
      <c r="C115" s="443" t="s">
        <v>101</v>
      </c>
      <c r="D115" s="90" t="s">
        <v>31</v>
      </c>
      <c r="E115" s="163">
        <f>E116</f>
        <v>16.399999999999999</v>
      </c>
      <c r="F115" s="163">
        <f t="shared" si="28"/>
        <v>16.399999999999999</v>
      </c>
      <c r="G115" s="163">
        <f>G116</f>
        <v>0</v>
      </c>
      <c r="H115" s="283">
        <f>H116</f>
        <v>16.399999999999999</v>
      </c>
      <c r="I115" s="108">
        <f>I116</f>
        <v>0</v>
      </c>
      <c r="J115" s="108">
        <f>J116</f>
        <v>0</v>
      </c>
      <c r="K115" s="163">
        <f t="shared" si="29"/>
        <v>0</v>
      </c>
      <c r="L115" s="386" t="s">
        <v>69</v>
      </c>
      <c r="M115" s="374" t="s">
        <v>453</v>
      </c>
      <c r="Q115" s="242"/>
    </row>
    <row r="116" spans="1:18" s="87" customFormat="1" ht="120.75" customHeight="1" x14ac:dyDescent="0.2">
      <c r="A116" s="447"/>
      <c r="B116" s="388"/>
      <c r="C116" s="444"/>
      <c r="D116" s="88" t="s">
        <v>70</v>
      </c>
      <c r="E116" s="162">
        <f>H116</f>
        <v>16.399999999999999</v>
      </c>
      <c r="F116" s="162">
        <f t="shared" si="28"/>
        <v>16.399999999999999</v>
      </c>
      <c r="G116" s="162">
        <v>0</v>
      </c>
      <c r="H116" s="284">
        <f>16400/1000</f>
        <v>16.399999999999999</v>
      </c>
      <c r="I116" s="172">
        <v>0</v>
      </c>
      <c r="J116" s="172">
        <v>0</v>
      </c>
      <c r="K116" s="162">
        <v>0</v>
      </c>
      <c r="L116" s="386"/>
      <c r="M116" s="382"/>
      <c r="Q116" s="242"/>
    </row>
    <row r="117" spans="1:18" ht="19.5" customHeight="1" x14ac:dyDescent="0.2">
      <c r="A117" s="294" t="s">
        <v>35</v>
      </c>
      <c r="B117" s="294"/>
      <c r="C117" s="294"/>
      <c r="D117" s="38" t="s">
        <v>36</v>
      </c>
      <c r="E117" s="171">
        <f>E118+E120</f>
        <v>35730.096270000002</v>
      </c>
      <c r="F117" s="171">
        <f t="shared" si="28"/>
        <v>176910.90922</v>
      </c>
      <c r="G117" s="171">
        <f>G118+G120</f>
        <v>37882.112949999995</v>
      </c>
      <c r="H117" s="283">
        <f>H118+H120</f>
        <v>35730.096270000002</v>
      </c>
      <c r="I117" s="108">
        <f t="shared" ref="I117:K117" si="34">I118+I120</f>
        <v>34401.700000000004</v>
      </c>
      <c r="J117" s="108">
        <f t="shared" si="34"/>
        <v>34448.5</v>
      </c>
      <c r="K117" s="171">
        <f t="shared" si="34"/>
        <v>34448.5</v>
      </c>
      <c r="L117" s="37"/>
      <c r="M117" s="37"/>
    </row>
    <row r="118" spans="1:18" ht="15" customHeight="1" x14ac:dyDescent="0.2">
      <c r="A118" s="294"/>
      <c r="B118" s="294"/>
      <c r="C118" s="294"/>
      <c r="D118" s="402" t="s">
        <v>107</v>
      </c>
      <c r="E118" s="387">
        <f>H118</f>
        <v>35730.096270000002</v>
      </c>
      <c r="F118" s="387">
        <f>SUM(G118:K119)</f>
        <v>176910.90922</v>
      </c>
      <c r="G118" s="404">
        <f>G77</f>
        <v>37882.112949999995</v>
      </c>
      <c r="H118" s="406">
        <f>H77</f>
        <v>35730.096270000002</v>
      </c>
      <c r="I118" s="404">
        <f>I77</f>
        <v>34401.700000000004</v>
      </c>
      <c r="J118" s="404">
        <f>J77</f>
        <v>34448.5</v>
      </c>
      <c r="K118" s="404">
        <f>K77</f>
        <v>34448.5</v>
      </c>
      <c r="L118" s="408"/>
      <c r="M118" s="408"/>
    </row>
    <row r="119" spans="1:18" ht="50.25" customHeight="1" x14ac:dyDescent="0.2">
      <c r="A119" s="294"/>
      <c r="B119" s="294"/>
      <c r="C119" s="294"/>
      <c r="D119" s="403"/>
      <c r="E119" s="387"/>
      <c r="F119" s="387"/>
      <c r="G119" s="405"/>
      <c r="H119" s="407"/>
      <c r="I119" s="405"/>
      <c r="J119" s="405"/>
      <c r="K119" s="405"/>
      <c r="L119" s="408"/>
      <c r="M119" s="408"/>
    </row>
    <row r="120" spans="1:18" ht="51" x14ac:dyDescent="0.2">
      <c r="A120" s="294"/>
      <c r="B120" s="294"/>
      <c r="C120" s="294"/>
      <c r="D120" s="25" t="s">
        <v>45</v>
      </c>
      <c r="E120" s="167">
        <f>H120</f>
        <v>0</v>
      </c>
      <c r="F120" s="167">
        <f>SUM(G120:K120)</f>
        <v>0</v>
      </c>
      <c r="G120" s="167">
        <v>0</v>
      </c>
      <c r="H120" s="283">
        <v>0</v>
      </c>
      <c r="I120" s="167">
        <v>0</v>
      </c>
      <c r="J120" s="167">
        <v>0</v>
      </c>
      <c r="K120" s="167">
        <v>0</v>
      </c>
      <c r="L120" s="40"/>
      <c r="M120" s="40"/>
    </row>
    <row r="121" spans="1:18" ht="33" customHeight="1" x14ac:dyDescent="0.2">
      <c r="A121" s="419" t="s">
        <v>100</v>
      </c>
      <c r="B121" s="419"/>
      <c r="C121" s="419"/>
      <c r="D121" s="419"/>
      <c r="E121" s="419"/>
      <c r="F121" s="419"/>
      <c r="G121" s="419"/>
      <c r="H121" s="419"/>
      <c r="I121" s="419"/>
      <c r="J121" s="419"/>
      <c r="K121" s="419"/>
      <c r="L121" s="419"/>
      <c r="M121" s="419"/>
    </row>
    <row r="122" spans="1:18" s="31" customFormat="1" ht="21.75" customHeight="1" x14ac:dyDescent="0.2">
      <c r="A122" s="389" t="s">
        <v>2</v>
      </c>
      <c r="B122" s="422" t="s">
        <v>151</v>
      </c>
      <c r="C122" s="423"/>
      <c r="D122" s="29" t="s">
        <v>31</v>
      </c>
      <c r="E122" s="108">
        <f>H122</f>
        <v>7023.7054700000008</v>
      </c>
      <c r="F122" s="108">
        <f>SUM(G122:K122)</f>
        <v>37493.532030000002</v>
      </c>
      <c r="G122" s="108">
        <f t="shared" ref="G122:K122" si="35">G123</f>
        <v>7117.8265600000004</v>
      </c>
      <c r="H122" s="283">
        <f t="shared" si="35"/>
        <v>7023.7054700000008</v>
      </c>
      <c r="I122" s="108">
        <f t="shared" si="35"/>
        <v>7776.8</v>
      </c>
      <c r="J122" s="108">
        <f t="shared" si="35"/>
        <v>7787.6</v>
      </c>
      <c r="K122" s="108">
        <f t="shared" si="35"/>
        <v>7787.6</v>
      </c>
      <c r="L122" s="400" t="s">
        <v>441</v>
      </c>
      <c r="M122" s="398"/>
      <c r="Q122" s="224"/>
    </row>
    <row r="123" spans="1:18" s="31" customFormat="1" ht="75.75" customHeight="1" x14ac:dyDescent="0.2">
      <c r="A123" s="389"/>
      <c r="B123" s="438"/>
      <c r="C123" s="439"/>
      <c r="D123" s="30" t="s">
        <v>171</v>
      </c>
      <c r="E123" s="108">
        <f>H123</f>
        <v>7023.7054700000008</v>
      </c>
      <c r="F123" s="172">
        <f>SUM(G123:K123)</f>
        <v>37493.532030000002</v>
      </c>
      <c r="G123" s="172">
        <f>G124+G126+G128+G130+G132+G134+G136+G138+G141</f>
        <v>7117.8265600000004</v>
      </c>
      <c r="H123" s="284">
        <f t="shared" ref="H123:K123" si="36">H124+H126+H128+H130+H132+H134+H136+H138</f>
        <v>7023.7054700000008</v>
      </c>
      <c r="I123" s="172">
        <f t="shared" si="36"/>
        <v>7776.8</v>
      </c>
      <c r="J123" s="172">
        <f t="shared" si="36"/>
        <v>7787.6</v>
      </c>
      <c r="K123" s="172">
        <f t="shared" si="36"/>
        <v>7787.6</v>
      </c>
      <c r="L123" s="401"/>
      <c r="M123" s="399"/>
      <c r="Q123" s="224"/>
      <c r="R123" s="224">
        <f>7640.6-H122</f>
        <v>616.89452999999958</v>
      </c>
    </row>
    <row r="124" spans="1:18" s="87" customFormat="1" ht="18" customHeight="1" x14ac:dyDescent="0.2">
      <c r="A124" s="430" t="s">
        <v>32</v>
      </c>
      <c r="B124" s="440" t="s">
        <v>225</v>
      </c>
      <c r="C124" s="441" t="s">
        <v>101</v>
      </c>
      <c r="D124" s="90" t="s">
        <v>31</v>
      </c>
      <c r="E124" s="163">
        <f>E125</f>
        <v>6229.7375899999997</v>
      </c>
      <c r="F124" s="163">
        <f t="shared" ref="F124:K134" si="37">F125</f>
        <v>31983.737589999997</v>
      </c>
      <c r="G124" s="163">
        <f t="shared" si="37"/>
        <v>6220.1</v>
      </c>
      <c r="H124" s="283">
        <f t="shared" si="37"/>
        <v>6229.7375899999997</v>
      </c>
      <c r="I124" s="108">
        <f t="shared" si="37"/>
        <v>6511.3</v>
      </c>
      <c r="J124" s="108">
        <f t="shared" si="37"/>
        <v>6511.3</v>
      </c>
      <c r="K124" s="163">
        <f t="shared" si="37"/>
        <v>6511.3</v>
      </c>
      <c r="L124" s="400" t="s">
        <v>441</v>
      </c>
      <c r="M124" s="346"/>
      <c r="Q124" s="242"/>
    </row>
    <row r="125" spans="1:18" s="87" customFormat="1" ht="61.5" customHeight="1" x14ac:dyDescent="0.2">
      <c r="A125" s="430"/>
      <c r="B125" s="440"/>
      <c r="C125" s="442"/>
      <c r="D125" s="88" t="s">
        <v>84</v>
      </c>
      <c r="E125" s="228">
        <f>H125</f>
        <v>6229.7375899999997</v>
      </c>
      <c r="F125" s="162">
        <f>G125+H125+I125+J125+K125</f>
        <v>31983.737589999997</v>
      </c>
      <c r="G125" s="162">
        <v>6220.1</v>
      </c>
      <c r="H125" s="284">
        <f>6229737.59/1000</f>
        <v>6229.7375899999997</v>
      </c>
      <c r="I125" s="172">
        <v>6511.3</v>
      </c>
      <c r="J125" s="172">
        <v>6511.3</v>
      </c>
      <c r="K125" s="162">
        <v>6511.3</v>
      </c>
      <c r="L125" s="401"/>
      <c r="M125" s="347"/>
      <c r="Q125" s="242"/>
      <c r="R125" s="242">
        <f>56057.88/1000</f>
        <v>56.057879999999997</v>
      </c>
    </row>
    <row r="126" spans="1:18" s="87" customFormat="1" ht="18" customHeight="1" x14ac:dyDescent="0.2">
      <c r="A126" s="384" t="s">
        <v>33</v>
      </c>
      <c r="B126" s="369" t="s">
        <v>226</v>
      </c>
      <c r="C126" s="380" t="s">
        <v>101</v>
      </c>
      <c r="D126" s="90" t="s">
        <v>31</v>
      </c>
      <c r="E126" s="163">
        <f>E127</f>
        <v>326.55788000000001</v>
      </c>
      <c r="F126" s="163">
        <f t="shared" si="37"/>
        <v>1439.65788</v>
      </c>
      <c r="G126" s="163">
        <f t="shared" si="37"/>
        <v>280</v>
      </c>
      <c r="H126" s="283">
        <f t="shared" si="37"/>
        <v>326.55788000000001</v>
      </c>
      <c r="I126" s="108">
        <f t="shared" si="37"/>
        <v>270.5</v>
      </c>
      <c r="J126" s="108">
        <f t="shared" si="37"/>
        <v>281.3</v>
      </c>
      <c r="K126" s="163">
        <f t="shared" si="37"/>
        <v>281.3</v>
      </c>
      <c r="L126" s="374" t="s">
        <v>441</v>
      </c>
      <c r="M126" s="370"/>
      <c r="Q126" s="242"/>
    </row>
    <row r="127" spans="1:18" s="87" customFormat="1" ht="45" customHeight="1" x14ac:dyDescent="0.2">
      <c r="A127" s="384"/>
      <c r="B127" s="369"/>
      <c r="C127" s="385"/>
      <c r="D127" s="88" t="s">
        <v>84</v>
      </c>
      <c r="E127" s="228">
        <f>H127</f>
        <v>326.55788000000001</v>
      </c>
      <c r="F127" s="162">
        <f>G127+H127+I127+J127+K127</f>
        <v>1439.65788</v>
      </c>
      <c r="G127" s="162">
        <v>280</v>
      </c>
      <c r="H127" s="284">
        <f>326557.88/1000</f>
        <v>326.55788000000001</v>
      </c>
      <c r="I127" s="172">
        <v>270.5</v>
      </c>
      <c r="J127" s="172">
        <v>281.3</v>
      </c>
      <c r="K127" s="162">
        <v>281.3</v>
      </c>
      <c r="L127" s="382"/>
      <c r="M127" s="371"/>
      <c r="Q127" s="242"/>
    </row>
    <row r="128" spans="1:18" s="87" customFormat="1" ht="18" customHeight="1" x14ac:dyDescent="0.2">
      <c r="A128" s="384" t="s">
        <v>34</v>
      </c>
      <c r="B128" s="369" t="s">
        <v>227</v>
      </c>
      <c r="C128" s="380" t="s">
        <v>101</v>
      </c>
      <c r="D128" s="90" t="s">
        <v>31</v>
      </c>
      <c r="E128" s="163">
        <f>E129</f>
        <v>63.836839999999995</v>
      </c>
      <c r="F128" s="163">
        <f t="shared" si="37"/>
        <v>710.95339999999999</v>
      </c>
      <c r="G128" s="163">
        <f t="shared" si="37"/>
        <v>47.11656</v>
      </c>
      <c r="H128" s="283">
        <f t="shared" si="37"/>
        <v>63.836839999999995</v>
      </c>
      <c r="I128" s="108">
        <f t="shared" si="37"/>
        <v>200</v>
      </c>
      <c r="J128" s="108">
        <f t="shared" si="37"/>
        <v>200</v>
      </c>
      <c r="K128" s="163">
        <f t="shared" si="37"/>
        <v>200</v>
      </c>
      <c r="L128" s="374" t="s">
        <v>441</v>
      </c>
      <c r="M128" s="374" t="s">
        <v>172</v>
      </c>
      <c r="Q128" s="242"/>
    </row>
    <row r="129" spans="1:17" s="87" customFormat="1" ht="44.25" customHeight="1" x14ac:dyDescent="0.2">
      <c r="A129" s="384"/>
      <c r="B129" s="369"/>
      <c r="C129" s="385"/>
      <c r="D129" s="88" t="s">
        <v>84</v>
      </c>
      <c r="E129" s="228">
        <f>H129</f>
        <v>63.836839999999995</v>
      </c>
      <c r="F129" s="162">
        <f>G129+H129+I129+J129+K129</f>
        <v>710.95339999999999</v>
      </c>
      <c r="G129" s="162">
        <f>47116.56/1000</f>
        <v>47.11656</v>
      </c>
      <c r="H129" s="284">
        <f>63836.84/1000</f>
        <v>63.836839999999995</v>
      </c>
      <c r="I129" s="172">
        <v>200</v>
      </c>
      <c r="J129" s="172">
        <v>200</v>
      </c>
      <c r="K129" s="162">
        <v>200</v>
      </c>
      <c r="L129" s="382"/>
      <c r="M129" s="382"/>
      <c r="Q129" s="242"/>
    </row>
    <row r="130" spans="1:17" s="87" customFormat="1" ht="18" customHeight="1" x14ac:dyDescent="0.2">
      <c r="A130" s="384" t="s">
        <v>71</v>
      </c>
      <c r="B130" s="369" t="s">
        <v>228</v>
      </c>
      <c r="C130" s="380" t="s">
        <v>101</v>
      </c>
      <c r="D130" s="90" t="s">
        <v>31</v>
      </c>
      <c r="E130" s="163">
        <f>E131</f>
        <v>2.661</v>
      </c>
      <c r="F130" s="163">
        <f t="shared" si="37"/>
        <v>22.661000000000001</v>
      </c>
      <c r="G130" s="163">
        <f t="shared" si="37"/>
        <v>5</v>
      </c>
      <c r="H130" s="283">
        <f t="shared" si="37"/>
        <v>2.661</v>
      </c>
      <c r="I130" s="108">
        <f t="shared" si="37"/>
        <v>5</v>
      </c>
      <c r="J130" s="108">
        <f t="shared" si="37"/>
        <v>5</v>
      </c>
      <c r="K130" s="163">
        <f t="shared" si="37"/>
        <v>5</v>
      </c>
      <c r="L130" s="374" t="s">
        <v>441</v>
      </c>
      <c r="M130" s="374" t="s">
        <v>279</v>
      </c>
      <c r="Q130" s="242"/>
    </row>
    <row r="131" spans="1:17" s="87" customFormat="1" ht="38.25" customHeight="1" x14ac:dyDescent="0.2">
      <c r="A131" s="384"/>
      <c r="B131" s="369"/>
      <c r="C131" s="385"/>
      <c r="D131" s="88" t="s">
        <v>84</v>
      </c>
      <c r="E131" s="228">
        <f>H131</f>
        <v>2.661</v>
      </c>
      <c r="F131" s="162">
        <f>G131+H131+I131+J131+K131</f>
        <v>22.661000000000001</v>
      </c>
      <c r="G131" s="162">
        <v>5</v>
      </c>
      <c r="H131" s="284">
        <f>2661/1000</f>
        <v>2.661</v>
      </c>
      <c r="I131" s="172">
        <v>5</v>
      </c>
      <c r="J131" s="172">
        <v>5</v>
      </c>
      <c r="K131" s="162">
        <v>5</v>
      </c>
      <c r="L131" s="382"/>
      <c r="M131" s="382"/>
      <c r="Q131" s="242"/>
    </row>
    <row r="132" spans="1:17" s="87" customFormat="1" ht="18" customHeight="1" x14ac:dyDescent="0.2">
      <c r="A132" s="384" t="s">
        <v>72</v>
      </c>
      <c r="B132" s="369" t="s">
        <v>229</v>
      </c>
      <c r="C132" s="380" t="s">
        <v>101</v>
      </c>
      <c r="D132" s="90" t="s">
        <v>31</v>
      </c>
      <c r="E132" s="163">
        <f>E133</f>
        <v>29.292009999999998</v>
      </c>
      <c r="F132" s="163">
        <f t="shared" si="37"/>
        <v>822.39201000000003</v>
      </c>
      <c r="G132" s="163">
        <f t="shared" si="37"/>
        <v>193.1</v>
      </c>
      <c r="H132" s="283">
        <f t="shared" si="37"/>
        <v>29.292009999999998</v>
      </c>
      <c r="I132" s="108">
        <f t="shared" si="37"/>
        <v>200</v>
      </c>
      <c r="J132" s="108">
        <f t="shared" si="37"/>
        <v>200</v>
      </c>
      <c r="K132" s="163">
        <f t="shared" si="37"/>
        <v>200</v>
      </c>
      <c r="L132" s="374" t="s">
        <v>441</v>
      </c>
      <c r="M132" s="374" t="s">
        <v>173</v>
      </c>
      <c r="Q132" s="242"/>
    </row>
    <row r="133" spans="1:17" s="87" customFormat="1" ht="50.25" customHeight="1" x14ac:dyDescent="0.2">
      <c r="A133" s="384"/>
      <c r="B133" s="369"/>
      <c r="C133" s="385"/>
      <c r="D133" s="88" t="s">
        <v>84</v>
      </c>
      <c r="E133" s="228">
        <f>H133</f>
        <v>29.292009999999998</v>
      </c>
      <c r="F133" s="162">
        <f>G133+H133+I133+J133+K133</f>
        <v>822.39201000000003</v>
      </c>
      <c r="G133" s="162">
        <f>193100/1000</f>
        <v>193.1</v>
      </c>
      <c r="H133" s="284">
        <f>29292.01/1000</f>
        <v>29.292009999999998</v>
      </c>
      <c r="I133" s="172">
        <v>200</v>
      </c>
      <c r="J133" s="172">
        <v>200</v>
      </c>
      <c r="K133" s="162">
        <v>200</v>
      </c>
      <c r="L133" s="382"/>
      <c r="M133" s="382"/>
      <c r="Q133" s="242"/>
    </row>
    <row r="134" spans="1:17" s="87" customFormat="1" ht="18" customHeight="1" x14ac:dyDescent="0.2">
      <c r="A134" s="384" t="s">
        <v>73</v>
      </c>
      <c r="B134" s="369" t="s">
        <v>232</v>
      </c>
      <c r="C134" s="380" t="s">
        <v>101</v>
      </c>
      <c r="D134" s="90" t="s">
        <v>31</v>
      </c>
      <c r="E134" s="163">
        <f>E135</f>
        <v>118.65015</v>
      </c>
      <c r="F134" s="163">
        <f t="shared" si="37"/>
        <v>756.44015000000002</v>
      </c>
      <c r="G134" s="163">
        <f t="shared" si="37"/>
        <v>37.79</v>
      </c>
      <c r="H134" s="283">
        <f t="shared" si="37"/>
        <v>118.65015</v>
      </c>
      <c r="I134" s="108">
        <f t="shared" si="37"/>
        <v>200</v>
      </c>
      <c r="J134" s="108">
        <f t="shared" si="37"/>
        <v>200</v>
      </c>
      <c r="K134" s="163">
        <f t="shared" si="37"/>
        <v>200</v>
      </c>
      <c r="L134" s="374" t="s">
        <v>441</v>
      </c>
      <c r="M134" s="374" t="s">
        <v>168</v>
      </c>
      <c r="Q134" s="242"/>
    </row>
    <row r="135" spans="1:17" s="87" customFormat="1" ht="51" customHeight="1" x14ac:dyDescent="0.2">
      <c r="A135" s="384"/>
      <c r="B135" s="369"/>
      <c r="C135" s="385"/>
      <c r="D135" s="88" t="s">
        <v>84</v>
      </c>
      <c r="E135" s="228">
        <f>H135</f>
        <v>118.65015</v>
      </c>
      <c r="F135" s="162">
        <f>G135+H135+I135+J135+K135</f>
        <v>756.44015000000002</v>
      </c>
      <c r="G135" s="162">
        <f>37790/1000</f>
        <v>37.79</v>
      </c>
      <c r="H135" s="284">
        <f>118650.15/1000</f>
        <v>118.65015</v>
      </c>
      <c r="I135" s="172">
        <v>200</v>
      </c>
      <c r="J135" s="172">
        <v>200</v>
      </c>
      <c r="K135" s="162">
        <v>200</v>
      </c>
      <c r="L135" s="382"/>
      <c r="M135" s="382"/>
      <c r="Q135" s="242"/>
    </row>
    <row r="136" spans="1:17" s="87" customFormat="1" ht="19.5" customHeight="1" x14ac:dyDescent="0.2">
      <c r="A136" s="383" t="s">
        <v>74</v>
      </c>
      <c r="B136" s="369" t="s">
        <v>230</v>
      </c>
      <c r="C136" s="380" t="s">
        <v>101</v>
      </c>
      <c r="D136" s="90" t="s">
        <v>11</v>
      </c>
      <c r="E136" s="163">
        <f>E137</f>
        <v>252.97</v>
      </c>
      <c r="F136" s="163">
        <f t="shared" ref="F136:K138" si="38">F137</f>
        <v>1483.49</v>
      </c>
      <c r="G136" s="163">
        <f t="shared" si="38"/>
        <v>330.52</v>
      </c>
      <c r="H136" s="283">
        <f t="shared" si="38"/>
        <v>252.97</v>
      </c>
      <c r="I136" s="108">
        <f t="shared" si="38"/>
        <v>300</v>
      </c>
      <c r="J136" s="108">
        <f t="shared" si="38"/>
        <v>300</v>
      </c>
      <c r="K136" s="163">
        <f t="shared" si="38"/>
        <v>300</v>
      </c>
      <c r="L136" s="374" t="s">
        <v>441</v>
      </c>
      <c r="M136" s="374" t="s">
        <v>174</v>
      </c>
      <c r="Q136" s="242"/>
    </row>
    <row r="137" spans="1:17" s="87" customFormat="1" ht="59.25" customHeight="1" x14ac:dyDescent="0.2">
      <c r="A137" s="384"/>
      <c r="B137" s="369"/>
      <c r="C137" s="385"/>
      <c r="D137" s="88" t="s">
        <v>83</v>
      </c>
      <c r="E137" s="228">
        <f>H137</f>
        <v>252.97</v>
      </c>
      <c r="F137" s="162">
        <f>G137+H137+I137+J137+K137</f>
        <v>1483.49</v>
      </c>
      <c r="G137" s="162">
        <f>330520/1000</f>
        <v>330.52</v>
      </c>
      <c r="H137" s="284">
        <f>252970/1000</f>
        <v>252.97</v>
      </c>
      <c r="I137" s="172">
        <v>300</v>
      </c>
      <c r="J137" s="172">
        <v>300</v>
      </c>
      <c r="K137" s="162">
        <v>300</v>
      </c>
      <c r="L137" s="382"/>
      <c r="M137" s="382"/>
      <c r="Q137" s="242"/>
    </row>
    <row r="138" spans="1:17" s="87" customFormat="1" ht="19.5" customHeight="1" x14ac:dyDescent="0.2">
      <c r="A138" s="383" t="s">
        <v>105</v>
      </c>
      <c r="B138" s="369" t="s">
        <v>231</v>
      </c>
      <c r="C138" s="380" t="s">
        <v>101</v>
      </c>
      <c r="D138" s="90" t="s">
        <v>11</v>
      </c>
      <c r="E138" s="163">
        <f>E139</f>
        <v>0</v>
      </c>
      <c r="F138" s="163">
        <f t="shared" si="38"/>
        <v>270</v>
      </c>
      <c r="G138" s="163">
        <f t="shared" si="38"/>
        <v>0</v>
      </c>
      <c r="H138" s="283">
        <f t="shared" si="38"/>
        <v>0</v>
      </c>
      <c r="I138" s="108">
        <f t="shared" si="38"/>
        <v>90</v>
      </c>
      <c r="J138" s="108">
        <f t="shared" si="38"/>
        <v>90</v>
      </c>
      <c r="K138" s="163">
        <f t="shared" si="38"/>
        <v>90</v>
      </c>
      <c r="L138" s="374" t="s">
        <v>441</v>
      </c>
      <c r="M138" s="374" t="s">
        <v>162</v>
      </c>
      <c r="Q138" s="242"/>
    </row>
    <row r="139" spans="1:17" s="87" customFormat="1" ht="50.25" customHeight="1" x14ac:dyDescent="0.2">
      <c r="A139" s="384"/>
      <c r="B139" s="369"/>
      <c r="C139" s="385"/>
      <c r="D139" s="88" t="s">
        <v>83</v>
      </c>
      <c r="E139" s="162">
        <f>H139</f>
        <v>0</v>
      </c>
      <c r="F139" s="162">
        <f>G139+H139+I139+J139+K139</f>
        <v>270</v>
      </c>
      <c r="G139" s="162">
        <v>0</v>
      </c>
      <c r="H139" s="284">
        <v>0</v>
      </c>
      <c r="I139" s="172">
        <v>90</v>
      </c>
      <c r="J139" s="172">
        <v>90</v>
      </c>
      <c r="K139" s="162">
        <v>90</v>
      </c>
      <c r="L139" s="382"/>
      <c r="M139" s="382"/>
      <c r="Q139" s="242"/>
    </row>
    <row r="140" spans="1:17" ht="101.25" customHeight="1" x14ac:dyDescent="0.2">
      <c r="A140" s="10" t="s">
        <v>106</v>
      </c>
      <c r="B140" s="56" t="s">
        <v>166</v>
      </c>
      <c r="C140" s="22" t="s">
        <v>101</v>
      </c>
      <c r="D140" s="7" t="s">
        <v>85</v>
      </c>
      <c r="E140" s="437" t="s">
        <v>63</v>
      </c>
      <c r="F140" s="437"/>
      <c r="G140" s="437"/>
      <c r="H140" s="437"/>
      <c r="I140" s="437"/>
      <c r="J140" s="437"/>
      <c r="K140" s="437"/>
      <c r="L140" s="54" t="s">
        <v>441</v>
      </c>
      <c r="M140" s="225"/>
    </row>
    <row r="141" spans="1:17" s="87" customFormat="1" ht="19.5" customHeight="1" x14ac:dyDescent="0.2">
      <c r="A141" s="383" t="s">
        <v>137</v>
      </c>
      <c r="B141" s="369" t="s">
        <v>283</v>
      </c>
      <c r="C141" s="380" t="s">
        <v>101</v>
      </c>
      <c r="D141" s="90" t="s">
        <v>11</v>
      </c>
      <c r="E141" s="163">
        <f>E142</f>
        <v>0</v>
      </c>
      <c r="F141" s="163">
        <f t="shared" ref="F141:K141" si="39">F142</f>
        <v>4.2</v>
      </c>
      <c r="G141" s="163">
        <f t="shared" si="39"/>
        <v>4.2</v>
      </c>
      <c r="H141" s="283">
        <f t="shared" si="39"/>
        <v>0</v>
      </c>
      <c r="I141" s="108">
        <f t="shared" si="39"/>
        <v>0</v>
      </c>
      <c r="J141" s="108">
        <f t="shared" si="39"/>
        <v>0</v>
      </c>
      <c r="K141" s="163">
        <f t="shared" si="39"/>
        <v>0</v>
      </c>
      <c r="L141" s="374" t="s">
        <v>441</v>
      </c>
      <c r="M141" s="400" t="s">
        <v>447</v>
      </c>
      <c r="Q141" s="242"/>
    </row>
    <row r="142" spans="1:17" s="87" customFormat="1" ht="45" customHeight="1" x14ac:dyDescent="0.2">
      <c r="A142" s="384"/>
      <c r="B142" s="369"/>
      <c r="C142" s="385"/>
      <c r="D142" s="106" t="s">
        <v>83</v>
      </c>
      <c r="E142" s="162">
        <f t="shared" ref="E142:E148" si="40">H142</f>
        <v>0</v>
      </c>
      <c r="F142" s="162">
        <f>G142+H142+I142+J142+K142</f>
        <v>4.2</v>
      </c>
      <c r="G142" s="162">
        <f>4200/1000</f>
        <v>4.2</v>
      </c>
      <c r="H142" s="284">
        <v>0</v>
      </c>
      <c r="I142" s="172">
        <v>0</v>
      </c>
      <c r="J142" s="172">
        <v>0</v>
      </c>
      <c r="K142" s="162">
        <v>0</v>
      </c>
      <c r="L142" s="382"/>
      <c r="M142" s="401"/>
      <c r="Q142" s="242"/>
    </row>
    <row r="143" spans="1:17" ht="15.75" x14ac:dyDescent="0.2">
      <c r="A143" s="294" t="s">
        <v>35</v>
      </c>
      <c r="B143" s="294"/>
      <c r="C143" s="294"/>
      <c r="D143" s="23" t="s">
        <v>36</v>
      </c>
      <c r="E143" s="171">
        <f t="shared" si="40"/>
        <v>7023.7054700000008</v>
      </c>
      <c r="F143" s="171">
        <f t="shared" ref="F143:F148" si="41">SUM(G143:K143)</f>
        <v>37493.532030000002</v>
      </c>
      <c r="G143" s="171">
        <f>G144</f>
        <v>7117.8265600000004</v>
      </c>
      <c r="H143" s="283">
        <f t="shared" ref="H143:K143" si="42">H144</f>
        <v>7023.7054700000008</v>
      </c>
      <c r="I143" s="108">
        <f t="shared" si="42"/>
        <v>7776.8</v>
      </c>
      <c r="J143" s="108">
        <f t="shared" si="42"/>
        <v>7787.6</v>
      </c>
      <c r="K143" s="171">
        <f t="shared" si="42"/>
        <v>7787.6</v>
      </c>
      <c r="L143" s="32"/>
      <c r="M143" s="238"/>
    </row>
    <row r="144" spans="1:17" ht="63.75" x14ac:dyDescent="0.2">
      <c r="A144" s="294"/>
      <c r="B144" s="294"/>
      <c r="C144" s="294"/>
      <c r="D144" s="24" t="s">
        <v>86</v>
      </c>
      <c r="E144" s="173">
        <f t="shared" si="40"/>
        <v>7023.7054700000008</v>
      </c>
      <c r="F144" s="173">
        <f t="shared" si="41"/>
        <v>37493.532030000002</v>
      </c>
      <c r="G144" s="173">
        <f>G122</f>
        <v>7117.8265600000004</v>
      </c>
      <c r="H144" s="283">
        <f>H122</f>
        <v>7023.7054700000008</v>
      </c>
      <c r="I144" s="188">
        <f>I122</f>
        <v>7776.8</v>
      </c>
      <c r="J144" s="188">
        <f>J122</f>
        <v>7787.6</v>
      </c>
      <c r="K144" s="173">
        <f>K122</f>
        <v>7787.6</v>
      </c>
      <c r="L144" s="33"/>
      <c r="M144" s="33"/>
    </row>
    <row r="145" spans="1:20" ht="20.25" customHeight="1" x14ac:dyDescent="0.2">
      <c r="A145" s="294" t="s">
        <v>37</v>
      </c>
      <c r="B145" s="294"/>
      <c r="C145" s="294"/>
      <c r="D145" s="23" t="s">
        <v>36</v>
      </c>
      <c r="E145" s="171">
        <f t="shared" si="40"/>
        <v>256768.85016000003</v>
      </c>
      <c r="F145" s="171">
        <f t="shared" si="41"/>
        <v>722534.68048999994</v>
      </c>
      <c r="G145" s="171">
        <f>SUM(G146:G148)</f>
        <v>139786.43033</v>
      </c>
      <c r="H145" s="283">
        <f t="shared" ref="H145:K145" si="43">SUM(H146:H148)</f>
        <v>256768.85016000003</v>
      </c>
      <c r="I145" s="171">
        <f t="shared" si="43"/>
        <v>113836</v>
      </c>
      <c r="J145" s="171">
        <f t="shared" si="43"/>
        <v>106071.70000000001</v>
      </c>
      <c r="K145" s="171">
        <f t="shared" si="43"/>
        <v>106071.70000000001</v>
      </c>
      <c r="L145" s="34"/>
      <c r="M145" s="34"/>
    </row>
    <row r="146" spans="1:20" ht="71.25" customHeight="1" x14ac:dyDescent="0.2">
      <c r="A146" s="294"/>
      <c r="B146" s="294"/>
      <c r="C146" s="294"/>
      <c r="D146" s="24" t="s">
        <v>77</v>
      </c>
      <c r="E146" s="259">
        <f t="shared" si="40"/>
        <v>106768.85016000002</v>
      </c>
      <c r="F146" s="173">
        <f t="shared" si="41"/>
        <v>538171.11049000011</v>
      </c>
      <c r="G146" s="173">
        <f>G71+G118+G144</f>
        <v>113362.06032999999</v>
      </c>
      <c r="H146" s="283">
        <f>H71+H118+H144</f>
        <v>106768.85016000002</v>
      </c>
      <c r="I146" s="274">
        <f>I71+I118+I144</f>
        <v>105896.8</v>
      </c>
      <c r="J146" s="173">
        <f>J71+J118+J144</f>
        <v>106071.70000000001</v>
      </c>
      <c r="K146" s="173">
        <f>K71+K118+K144</f>
        <v>106071.70000000001</v>
      </c>
      <c r="L146" s="33"/>
      <c r="M146" s="33"/>
      <c r="N146" s="28"/>
      <c r="O146" s="28"/>
      <c r="P146" s="28"/>
      <c r="R146" s="28"/>
      <c r="S146" s="28"/>
      <c r="T146" s="28"/>
    </row>
    <row r="147" spans="1:20" ht="62.25" customHeight="1" x14ac:dyDescent="0.2">
      <c r="A147" s="294"/>
      <c r="B147" s="294"/>
      <c r="C147" s="294"/>
      <c r="D147" s="25" t="s">
        <v>12</v>
      </c>
      <c r="E147" s="167">
        <f t="shared" si="40"/>
        <v>0</v>
      </c>
      <c r="F147" s="167">
        <f t="shared" si="41"/>
        <v>34363.57</v>
      </c>
      <c r="G147" s="167">
        <f t="shared" ref="G147:K148" si="44">G73+G119</f>
        <v>26424.37</v>
      </c>
      <c r="H147" s="283">
        <f t="shared" si="44"/>
        <v>0</v>
      </c>
      <c r="I147" s="167">
        <f t="shared" si="44"/>
        <v>7939.2</v>
      </c>
      <c r="J147" s="167">
        <f t="shared" si="44"/>
        <v>0</v>
      </c>
      <c r="K147" s="167">
        <f t="shared" si="44"/>
        <v>0</v>
      </c>
      <c r="L147" s="40"/>
      <c r="M147" s="40"/>
    </row>
    <row r="148" spans="1:20" ht="46.5" customHeight="1" x14ac:dyDescent="0.2">
      <c r="A148" s="294"/>
      <c r="B148" s="294"/>
      <c r="C148" s="294"/>
      <c r="D148" s="25" t="s">
        <v>55</v>
      </c>
      <c r="E148" s="167">
        <f t="shared" si="40"/>
        <v>150000</v>
      </c>
      <c r="F148" s="167">
        <f t="shared" si="41"/>
        <v>150000</v>
      </c>
      <c r="G148" s="167">
        <f t="shared" si="44"/>
        <v>0</v>
      </c>
      <c r="H148" s="283">
        <f t="shared" si="44"/>
        <v>150000</v>
      </c>
      <c r="I148" s="167">
        <f t="shared" si="44"/>
        <v>0</v>
      </c>
      <c r="J148" s="167">
        <f t="shared" si="44"/>
        <v>0</v>
      </c>
      <c r="K148" s="167">
        <f t="shared" si="44"/>
        <v>0</v>
      </c>
      <c r="L148" s="26"/>
      <c r="M148" s="26"/>
    </row>
    <row r="149" spans="1:20" x14ac:dyDescent="0.2">
      <c r="A149" s="35"/>
      <c r="B149" s="6"/>
      <c r="C149" s="6"/>
      <c r="D149" s="6"/>
      <c r="E149" s="20"/>
      <c r="F149" s="20"/>
      <c r="G149" s="20"/>
      <c r="H149" s="288"/>
      <c r="I149" s="196"/>
      <c r="J149" s="196"/>
      <c r="K149" s="20"/>
      <c r="L149" s="6"/>
      <c r="M149" s="6"/>
      <c r="N149" s="6"/>
    </row>
  </sheetData>
  <mergeCells count="325">
    <mergeCell ref="M141:M142"/>
    <mergeCell ref="L111:L112"/>
    <mergeCell ref="M111:M112"/>
    <mergeCell ref="L109:L110"/>
    <mergeCell ref="M109:M110"/>
    <mergeCell ref="B97:B98"/>
    <mergeCell ref="B87:B88"/>
    <mergeCell ref="A97:A98"/>
    <mergeCell ref="A122:A123"/>
    <mergeCell ref="A117:C120"/>
    <mergeCell ref="A93:A94"/>
    <mergeCell ref="B99:B100"/>
    <mergeCell ref="A105:A106"/>
    <mergeCell ref="B105:B106"/>
    <mergeCell ref="C105:C106"/>
    <mergeCell ref="A101:A102"/>
    <mergeCell ref="B101:B102"/>
    <mergeCell ref="C101:C102"/>
    <mergeCell ref="C99:C100"/>
    <mergeCell ref="A111:A112"/>
    <mergeCell ref="B111:B112"/>
    <mergeCell ref="C111:C112"/>
    <mergeCell ref="A99:A100"/>
    <mergeCell ref="A115:A116"/>
    <mergeCell ref="B115:B116"/>
    <mergeCell ref="C115:C116"/>
    <mergeCell ref="B93:B94"/>
    <mergeCell ref="A89:A90"/>
    <mergeCell ref="B107:B108"/>
    <mergeCell ref="A109:A110"/>
    <mergeCell ref="B109:B110"/>
    <mergeCell ref="C109:C110"/>
    <mergeCell ref="A103:A104"/>
    <mergeCell ref="B103:B104"/>
    <mergeCell ref="B91:B92"/>
    <mergeCell ref="A113:A114"/>
    <mergeCell ref="B113:B114"/>
    <mergeCell ref="C113:C114"/>
    <mergeCell ref="B128:B129"/>
    <mergeCell ref="A126:A127"/>
    <mergeCell ref="B126:B127"/>
    <mergeCell ref="B122:C123"/>
    <mergeCell ref="B124:B125"/>
    <mergeCell ref="A134:A135"/>
    <mergeCell ref="A124:A125"/>
    <mergeCell ref="A132:A133"/>
    <mergeCell ref="B132:B133"/>
    <mergeCell ref="C124:C125"/>
    <mergeCell ref="C126:C127"/>
    <mergeCell ref="C130:C131"/>
    <mergeCell ref="A145:C148"/>
    <mergeCell ref="C138:C139"/>
    <mergeCell ref="C132:C133"/>
    <mergeCell ref="C134:C135"/>
    <mergeCell ref="C136:C137"/>
    <mergeCell ref="A12:A13"/>
    <mergeCell ref="A14:A15"/>
    <mergeCell ref="B14:B15"/>
    <mergeCell ref="A50:A51"/>
    <mergeCell ref="B50:B51"/>
    <mergeCell ref="A71:C74"/>
    <mergeCell ref="A143:C144"/>
    <mergeCell ref="A130:A131"/>
    <mergeCell ref="B130:B131"/>
    <mergeCell ref="A138:A139"/>
    <mergeCell ref="A95:A96"/>
    <mergeCell ref="B95:B96"/>
    <mergeCell ref="B76:C78"/>
    <mergeCell ref="A121:M121"/>
    <mergeCell ref="L32:L33"/>
    <mergeCell ref="E140:K140"/>
    <mergeCell ref="L71:L72"/>
    <mergeCell ref="A107:A108"/>
    <mergeCell ref="A128:A129"/>
    <mergeCell ref="B138:B139"/>
    <mergeCell ref="B134:B135"/>
    <mergeCell ref="C52:C53"/>
    <mergeCell ref="M8:M9"/>
    <mergeCell ref="A32:A33"/>
    <mergeCell ref="B32:B33"/>
    <mergeCell ref="M28:M29"/>
    <mergeCell ref="M32:M33"/>
    <mergeCell ref="M34:M35"/>
    <mergeCell ref="M46:M49"/>
    <mergeCell ref="M50:M51"/>
    <mergeCell ref="M63:M64"/>
    <mergeCell ref="L14:L15"/>
    <mergeCell ref="A16:A17"/>
    <mergeCell ref="B16:B17"/>
    <mergeCell ref="L46:L49"/>
    <mergeCell ref="A46:A49"/>
    <mergeCell ref="M26:M27"/>
    <mergeCell ref="A26:A27"/>
    <mergeCell ref="B26:B27"/>
    <mergeCell ref="L132:L133"/>
    <mergeCell ref="C128:C129"/>
    <mergeCell ref="A136:A137"/>
    <mergeCell ref="L38:L39"/>
    <mergeCell ref="A34:A35"/>
    <mergeCell ref="B34:B35"/>
    <mergeCell ref="B22:B23"/>
    <mergeCell ref="B20:B21"/>
    <mergeCell ref="C22:C23"/>
    <mergeCell ref="B18:B19"/>
    <mergeCell ref="C20:C21"/>
    <mergeCell ref="A22:A23"/>
    <mergeCell ref="A20:A21"/>
    <mergeCell ref="C28:C29"/>
    <mergeCell ref="C30:C31"/>
    <mergeCell ref="C32:C33"/>
    <mergeCell ref="C34:C35"/>
    <mergeCell ref="A30:A31"/>
    <mergeCell ref="B30:B31"/>
    <mergeCell ref="C18:C19"/>
    <mergeCell ref="A40:A41"/>
    <mergeCell ref="A38:A39"/>
    <mergeCell ref="A1:M1"/>
    <mergeCell ref="A2:M2"/>
    <mergeCell ref="A3:M3"/>
    <mergeCell ref="C26:C27"/>
    <mergeCell ref="L16:L17"/>
    <mergeCell ref="L22:L23"/>
    <mergeCell ref="M22:M23"/>
    <mergeCell ref="L20:L21"/>
    <mergeCell ref="M24:M25"/>
    <mergeCell ref="M12:M13"/>
    <mergeCell ref="A5:M5"/>
    <mergeCell ref="A6:M6"/>
    <mergeCell ref="A18:A19"/>
    <mergeCell ref="L12:L13"/>
    <mergeCell ref="L8:L9"/>
    <mergeCell ref="C8:C9"/>
    <mergeCell ref="A11:M11"/>
    <mergeCell ref="F8:F9"/>
    <mergeCell ref="G8:K8"/>
    <mergeCell ref="A8:A9"/>
    <mergeCell ref="B8:B9"/>
    <mergeCell ref="D8:D9"/>
    <mergeCell ref="M16:M17"/>
    <mergeCell ref="L26:L27"/>
    <mergeCell ref="A28:A29"/>
    <mergeCell ref="B28:B29"/>
    <mergeCell ref="A24:A25"/>
    <mergeCell ref="B24:B25"/>
    <mergeCell ref="L24:L25"/>
    <mergeCell ref="M20:M21"/>
    <mergeCell ref="L18:L19"/>
    <mergeCell ref="M18:M19"/>
    <mergeCell ref="C14:C15"/>
    <mergeCell ref="C16:C17"/>
    <mergeCell ref="C24:C25"/>
    <mergeCell ref="L28:L29"/>
    <mergeCell ref="E8:E9"/>
    <mergeCell ref="B12:C13"/>
    <mergeCell ref="B63:B64"/>
    <mergeCell ref="D71:D72"/>
    <mergeCell ref="L89:L90"/>
    <mergeCell ref="B85:B86"/>
    <mergeCell ref="L50:L51"/>
    <mergeCell ref="C36:C37"/>
    <mergeCell ref="L36:L37"/>
    <mergeCell ref="L34:L35"/>
    <mergeCell ref="G77:G78"/>
    <mergeCell ref="L52:L53"/>
    <mergeCell ref="B89:B90"/>
    <mergeCell ref="L77:L78"/>
    <mergeCell ref="K71:K72"/>
    <mergeCell ref="E71:E72"/>
    <mergeCell ref="L87:L88"/>
    <mergeCell ref="B81:B82"/>
    <mergeCell ref="C87:C88"/>
    <mergeCell ref="M107:M108"/>
    <mergeCell ref="C107:C108"/>
    <mergeCell ref="L107:L108"/>
    <mergeCell ref="C85:C86"/>
    <mergeCell ref="L85:L86"/>
    <mergeCell ref="M85:M86"/>
    <mergeCell ref="C103:C104"/>
    <mergeCell ref="M79:M80"/>
    <mergeCell ref="M115:M116"/>
    <mergeCell ref="M95:M96"/>
    <mergeCell ref="M97:M98"/>
    <mergeCell ref="L91:L92"/>
    <mergeCell ref="L113:L114"/>
    <mergeCell ref="M113:M114"/>
    <mergeCell ref="M89:M90"/>
    <mergeCell ref="C97:C98"/>
    <mergeCell ref="L93:L94"/>
    <mergeCell ref="C91:C92"/>
    <mergeCell ref="C93:C94"/>
    <mergeCell ref="C95:C96"/>
    <mergeCell ref="M101:M102"/>
    <mergeCell ref="M103:M104"/>
    <mergeCell ref="C89:C90"/>
    <mergeCell ref="L79:L80"/>
    <mergeCell ref="M36:M37"/>
    <mergeCell ref="L63:L64"/>
    <mergeCell ref="M77:M78"/>
    <mergeCell ref="K77:K78"/>
    <mergeCell ref="J71:J72"/>
    <mergeCell ref="C63:C64"/>
    <mergeCell ref="M71:M72"/>
    <mergeCell ref="G71:G72"/>
    <mergeCell ref="H71:H72"/>
    <mergeCell ref="F71:F72"/>
    <mergeCell ref="A75:M75"/>
    <mergeCell ref="A36:A37"/>
    <mergeCell ref="B38:B39"/>
    <mergeCell ref="C38:C39"/>
    <mergeCell ref="C40:C41"/>
    <mergeCell ref="A60:A62"/>
    <mergeCell ref="B60:B62"/>
    <mergeCell ref="C60:C62"/>
    <mergeCell ref="L60:L62"/>
    <mergeCell ref="M60:M62"/>
    <mergeCell ref="A65:A67"/>
    <mergeCell ref="M38:M39"/>
    <mergeCell ref="L40:L41"/>
    <mergeCell ref="J77:J78"/>
    <mergeCell ref="M136:M137"/>
    <mergeCell ref="M130:M131"/>
    <mergeCell ref="M118:M119"/>
    <mergeCell ref="M30:M31"/>
    <mergeCell ref="L30:L31"/>
    <mergeCell ref="M40:M41"/>
    <mergeCell ref="M14:M15"/>
    <mergeCell ref="A83:A84"/>
    <mergeCell ref="B83:B84"/>
    <mergeCell ref="A81:A82"/>
    <mergeCell ref="L83:L84"/>
    <mergeCell ref="A79:A80"/>
    <mergeCell ref="B79:B80"/>
    <mergeCell ref="C83:C84"/>
    <mergeCell ref="C81:C82"/>
    <mergeCell ref="I77:I78"/>
    <mergeCell ref="L81:L82"/>
    <mergeCell ref="E77:E78"/>
    <mergeCell ref="F77:F78"/>
    <mergeCell ref="C50:C51"/>
    <mergeCell ref="B46:C49"/>
    <mergeCell ref="M52:M53"/>
    <mergeCell ref="B40:B41"/>
    <mergeCell ref="B36:B37"/>
    <mergeCell ref="M122:M123"/>
    <mergeCell ref="L130:L131"/>
    <mergeCell ref="M132:M133"/>
    <mergeCell ref="L124:L125"/>
    <mergeCell ref="D118:D119"/>
    <mergeCell ref="E118:E119"/>
    <mergeCell ref="F118:F119"/>
    <mergeCell ref="L128:L129"/>
    <mergeCell ref="L122:L123"/>
    <mergeCell ref="G118:G119"/>
    <mergeCell ref="H118:H119"/>
    <mergeCell ref="I118:I119"/>
    <mergeCell ref="J118:J119"/>
    <mergeCell ref="K118:K119"/>
    <mergeCell ref="L118:L119"/>
    <mergeCell ref="L126:L127"/>
    <mergeCell ref="M83:M84"/>
    <mergeCell ref="M81:M82"/>
    <mergeCell ref="L115:L116"/>
    <mergeCell ref="M87:M88"/>
    <mergeCell ref="A85:A86"/>
    <mergeCell ref="A87:A88"/>
    <mergeCell ref="I71:I72"/>
    <mergeCell ref="B52:B53"/>
    <mergeCell ref="A76:A78"/>
    <mergeCell ref="D77:D78"/>
    <mergeCell ref="H77:H78"/>
    <mergeCell ref="B65:C67"/>
    <mergeCell ref="L65:L67"/>
    <mergeCell ref="C57:C59"/>
    <mergeCell ref="L57:L59"/>
    <mergeCell ref="A63:A64"/>
    <mergeCell ref="A54:A56"/>
    <mergeCell ref="B54:B56"/>
    <mergeCell ref="C54:C56"/>
    <mergeCell ref="L54:L56"/>
    <mergeCell ref="A57:A59"/>
    <mergeCell ref="B57:B59"/>
    <mergeCell ref="A52:A53"/>
    <mergeCell ref="C79:C80"/>
    <mergeCell ref="A141:A142"/>
    <mergeCell ref="B141:B142"/>
    <mergeCell ref="C141:C142"/>
    <mergeCell ref="L141:L142"/>
    <mergeCell ref="A91:A92"/>
    <mergeCell ref="L138:L139"/>
    <mergeCell ref="M138:M139"/>
    <mergeCell ref="L134:L135"/>
    <mergeCell ref="M91:M92"/>
    <mergeCell ref="M93:M94"/>
    <mergeCell ref="L99:L100"/>
    <mergeCell ref="L101:L102"/>
    <mergeCell ref="L103:L104"/>
    <mergeCell ref="M99:M100"/>
    <mergeCell ref="M105:M106"/>
    <mergeCell ref="L95:L96"/>
    <mergeCell ref="L97:L98"/>
    <mergeCell ref="L105:L106"/>
    <mergeCell ref="B136:B137"/>
    <mergeCell ref="M128:M129"/>
    <mergeCell ref="M126:M127"/>
    <mergeCell ref="M124:M125"/>
    <mergeCell ref="M134:M135"/>
    <mergeCell ref="L136:L137"/>
    <mergeCell ref="A42:A43"/>
    <mergeCell ref="B42:B43"/>
    <mergeCell ref="C42:C43"/>
    <mergeCell ref="L42:L43"/>
    <mergeCell ref="M42:M43"/>
    <mergeCell ref="M65:M67"/>
    <mergeCell ref="A68:A70"/>
    <mergeCell ref="B68:B70"/>
    <mergeCell ref="C68:C70"/>
    <mergeCell ref="L68:L70"/>
    <mergeCell ref="M68:M70"/>
    <mergeCell ref="A44:A45"/>
    <mergeCell ref="B44:B45"/>
    <mergeCell ref="C44:C45"/>
    <mergeCell ref="L44:L45"/>
    <mergeCell ref="M44:M45"/>
    <mergeCell ref="M54:M56"/>
    <mergeCell ref="M57:M59"/>
  </mergeCells>
  <pageMargins left="0.51181102362204722" right="0.51181102362204722" top="0.74803149606299213" bottom="0.74803149606299213" header="0.31496062992125984" footer="0.31496062992125984"/>
  <pageSetup paperSize="9" scale="66" fitToHeight="0" orientation="landscape" r:id="rId1"/>
  <rowBreaks count="8" manualBreakCount="8">
    <brk id="21" max="12" man="1"/>
    <brk id="35" max="12" man="1"/>
    <brk id="53" max="12" man="1"/>
    <brk id="74" max="12" man="1"/>
    <brk id="90" max="12" man="1"/>
    <brk id="108" max="12" man="1"/>
    <brk id="123" max="12" man="1"/>
    <brk id="14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345"/>
  <sheetViews>
    <sheetView view="pageBreakPreview" topLeftCell="A159" zoomScale="80" zoomScaleNormal="100" zoomScaleSheetLayoutView="80" workbookViewId="0">
      <selection activeCell="C192" sqref="C192:D197"/>
    </sheetView>
  </sheetViews>
  <sheetFormatPr defaultRowHeight="18" x14ac:dyDescent="0.2"/>
  <cols>
    <col min="1" max="1" width="55.7109375" style="71" customWidth="1"/>
    <col min="2" max="2" width="12.28515625" style="3" customWidth="1"/>
    <col min="3" max="3" width="15.85546875" style="3" hidden="1" customWidth="1"/>
    <col min="4" max="4" width="110.5703125" style="3" customWidth="1"/>
    <col min="5" max="5" width="15.42578125" style="3" customWidth="1"/>
    <col min="6" max="6" width="25.42578125" style="68" customWidth="1"/>
    <col min="7" max="7" width="19.5703125" style="3" customWidth="1"/>
    <col min="8" max="8" width="9.140625" style="3"/>
    <col min="9" max="9" width="26.7109375" style="176" customWidth="1"/>
    <col min="10" max="13" width="9.140625" style="3"/>
    <col min="14" max="14" width="12.5703125" style="3" bestFit="1" customWidth="1"/>
    <col min="15" max="16384" width="9.140625" style="3"/>
  </cols>
  <sheetData>
    <row r="1" spans="1:9" ht="15" hidden="1" customHeight="1" x14ac:dyDescent="0.2">
      <c r="D1" s="452" t="s">
        <v>184</v>
      </c>
      <c r="E1" s="452"/>
      <c r="F1" s="452"/>
      <c r="G1" s="452"/>
    </row>
    <row r="2" spans="1:9" ht="15" hidden="1" customHeight="1" x14ac:dyDescent="0.2">
      <c r="D2" s="82"/>
      <c r="E2" s="452" t="s">
        <v>185</v>
      </c>
      <c r="F2" s="452"/>
      <c r="G2" s="452"/>
    </row>
    <row r="3" spans="1:9" ht="15" hidden="1" customHeight="1" x14ac:dyDescent="0.2">
      <c r="D3" s="452" t="s">
        <v>184</v>
      </c>
      <c r="E3" s="452"/>
      <c r="F3" s="452"/>
      <c r="G3" s="452"/>
    </row>
    <row r="4" spans="1:9" ht="15" hidden="1" customHeight="1" x14ac:dyDescent="0.2">
      <c r="D4" s="94"/>
      <c r="E4" s="452" t="s">
        <v>185</v>
      </c>
      <c r="F4" s="452"/>
      <c r="G4" s="452"/>
    </row>
    <row r="5" spans="1:9" ht="15" customHeight="1" x14ac:dyDescent="0.2">
      <c r="D5" s="94"/>
      <c r="E5" s="94"/>
      <c r="F5" s="179"/>
      <c r="G5" s="94" t="s">
        <v>128</v>
      </c>
    </row>
    <row r="6" spans="1:9" ht="21" customHeight="1" x14ac:dyDescent="0.2">
      <c r="D6" s="453" t="s">
        <v>273</v>
      </c>
      <c r="E6" s="453"/>
      <c r="F6" s="453"/>
      <c r="G6" s="453"/>
    </row>
    <row r="7" spans="1:9" ht="33.75" customHeight="1" x14ac:dyDescent="0.2">
      <c r="A7" s="518" t="s">
        <v>258</v>
      </c>
      <c r="B7" s="518"/>
      <c r="C7" s="518"/>
      <c r="D7" s="518"/>
      <c r="E7" s="518"/>
      <c r="F7" s="518"/>
      <c r="G7" s="518"/>
    </row>
    <row r="8" spans="1:9" ht="76.5" customHeight="1" x14ac:dyDescent="0.2">
      <c r="A8" s="80" t="s">
        <v>28</v>
      </c>
      <c r="B8" s="72"/>
      <c r="C8" s="321" t="s">
        <v>29</v>
      </c>
      <c r="D8" s="321"/>
      <c r="E8" s="330" t="s">
        <v>30</v>
      </c>
      <c r="F8" s="330"/>
      <c r="G8" s="83" t="s">
        <v>27</v>
      </c>
    </row>
    <row r="9" spans="1:9" x14ac:dyDescent="0.2">
      <c r="A9" s="72">
        <v>1</v>
      </c>
      <c r="B9" s="72">
        <v>2</v>
      </c>
      <c r="C9" s="321">
        <v>3</v>
      </c>
      <c r="D9" s="321"/>
      <c r="E9" s="321">
        <v>4</v>
      </c>
      <c r="F9" s="321"/>
      <c r="G9" s="5">
        <v>5</v>
      </c>
    </row>
    <row r="10" spans="1:9" ht="23.25" customHeight="1" x14ac:dyDescent="0.2">
      <c r="A10" s="468" t="s">
        <v>56</v>
      </c>
      <c r="B10" s="468"/>
      <c r="C10" s="468"/>
      <c r="D10" s="468"/>
      <c r="E10" s="468"/>
      <c r="F10" s="468"/>
      <c r="G10" s="468"/>
      <c r="I10" s="178" t="e">
        <f>F12+F18+F24+F30+F36+F42+F48+F54+F60+F66+F72+F78+F84++F90+F102+F114+F120+F126+F132+#REF!+F144</f>
        <v>#REF!</v>
      </c>
    </row>
    <row r="11" spans="1:9" ht="44.25" customHeight="1" x14ac:dyDescent="0.2">
      <c r="A11" s="477" t="s">
        <v>156</v>
      </c>
      <c r="B11" s="478"/>
      <c r="C11" s="81"/>
      <c r="D11" s="81"/>
      <c r="E11" s="74"/>
      <c r="F11" s="180"/>
      <c r="G11" s="74"/>
      <c r="I11" s="176" t="e">
        <f>F108+F114+F120+F126+F132+#REF!+F144</f>
        <v>#REF!</v>
      </c>
    </row>
    <row r="12" spans="1:9" ht="20.25" customHeight="1" x14ac:dyDescent="0.2">
      <c r="A12" s="496" t="s">
        <v>450</v>
      </c>
      <c r="B12" s="321" t="s">
        <v>158</v>
      </c>
      <c r="C12" s="338" t="s">
        <v>451</v>
      </c>
      <c r="D12" s="338"/>
      <c r="E12" s="10" t="s">
        <v>53</v>
      </c>
      <c r="F12" s="181">
        <f>SUM(F13:F17)</f>
        <v>12267.51597</v>
      </c>
      <c r="G12" s="324"/>
      <c r="I12" s="176" t="e">
        <f>I10+I11</f>
        <v>#REF!</v>
      </c>
    </row>
    <row r="13" spans="1:9" ht="20.25" customHeight="1" x14ac:dyDescent="0.2">
      <c r="A13" s="496"/>
      <c r="B13" s="321"/>
      <c r="C13" s="338"/>
      <c r="D13" s="338"/>
      <c r="E13" s="5" t="s">
        <v>4</v>
      </c>
      <c r="F13" s="55">
        <f>'Прил 7 Перечень мероприятий'!G15</f>
        <v>2387.65427</v>
      </c>
      <c r="G13" s="324"/>
    </row>
    <row r="14" spans="1:9" ht="20.25" customHeight="1" x14ac:dyDescent="0.2">
      <c r="A14" s="496"/>
      <c r="B14" s="321"/>
      <c r="C14" s="338"/>
      <c r="D14" s="338"/>
      <c r="E14" s="5" t="s">
        <v>52</v>
      </c>
      <c r="F14" s="55">
        <f>'Прил 7 Перечень мероприятий'!H14</f>
        <v>1779.8616999999999</v>
      </c>
      <c r="G14" s="324"/>
    </row>
    <row r="15" spans="1:9" ht="20.25" customHeight="1" x14ac:dyDescent="0.2">
      <c r="A15" s="496"/>
      <c r="B15" s="321"/>
      <c r="C15" s="338"/>
      <c r="D15" s="338"/>
      <c r="E15" s="5" t="s">
        <v>97</v>
      </c>
      <c r="F15" s="55">
        <f>'Прил 7 Перечень мероприятий'!I15</f>
        <v>2700</v>
      </c>
      <c r="G15" s="324"/>
    </row>
    <row r="16" spans="1:9" ht="20.25" customHeight="1" x14ac:dyDescent="0.2">
      <c r="A16" s="496"/>
      <c r="B16" s="321"/>
      <c r="C16" s="338"/>
      <c r="D16" s="338"/>
      <c r="E16" s="5" t="s">
        <v>98</v>
      </c>
      <c r="F16" s="55">
        <f>'Прил 7 Перечень мероприятий'!J15</f>
        <v>2700</v>
      </c>
      <c r="G16" s="324"/>
    </row>
    <row r="17" spans="1:14" ht="42" customHeight="1" x14ac:dyDescent="0.2">
      <c r="A17" s="496"/>
      <c r="B17" s="321"/>
      <c r="C17" s="338"/>
      <c r="D17" s="338"/>
      <c r="E17" s="5" t="s">
        <v>99</v>
      </c>
      <c r="F17" s="55">
        <f>'Прил 7 Перечень мероприятий'!K15</f>
        <v>2700</v>
      </c>
      <c r="G17" s="324"/>
    </row>
    <row r="18" spans="1:14" ht="15.75" customHeight="1" x14ac:dyDescent="0.2">
      <c r="A18" s="466" t="s">
        <v>155</v>
      </c>
      <c r="B18" s="321" t="s">
        <v>158</v>
      </c>
      <c r="C18" s="476" t="s">
        <v>337</v>
      </c>
      <c r="D18" s="476"/>
      <c r="E18" s="70" t="s">
        <v>53</v>
      </c>
      <c r="F18" s="182">
        <f>SUM(F19:F23)</f>
        <v>1436.6990000000001</v>
      </c>
      <c r="G18" s="324"/>
    </row>
    <row r="19" spans="1:14" ht="15.75" customHeight="1" x14ac:dyDescent="0.2">
      <c r="A19" s="467"/>
      <c r="B19" s="321"/>
      <c r="C19" s="476"/>
      <c r="D19" s="476"/>
      <c r="E19" s="69" t="s">
        <v>4</v>
      </c>
      <c r="F19" s="55">
        <f>'Прил 7 Перечень мероприятий'!G17</f>
        <v>286.69900000000001</v>
      </c>
      <c r="G19" s="324"/>
    </row>
    <row r="20" spans="1:14" ht="15.75" customHeight="1" x14ac:dyDescent="0.2">
      <c r="A20" s="467"/>
      <c r="B20" s="321"/>
      <c r="C20" s="476"/>
      <c r="D20" s="476"/>
      <c r="E20" s="69" t="s">
        <v>52</v>
      </c>
      <c r="F20" s="55">
        <f>'Прил 7 Перечень мероприятий'!H16</f>
        <v>100</v>
      </c>
      <c r="G20" s="324"/>
    </row>
    <row r="21" spans="1:14" ht="15.75" customHeight="1" x14ac:dyDescent="0.2">
      <c r="A21" s="467"/>
      <c r="B21" s="321"/>
      <c r="C21" s="476"/>
      <c r="D21" s="476"/>
      <c r="E21" s="69" t="s">
        <v>97</v>
      </c>
      <c r="F21" s="55">
        <f>'Прил 7 Перечень мероприятий'!I17</f>
        <v>350</v>
      </c>
      <c r="G21" s="324"/>
    </row>
    <row r="22" spans="1:14" ht="15.75" customHeight="1" x14ac:dyDescent="0.2">
      <c r="A22" s="467"/>
      <c r="B22" s="321"/>
      <c r="C22" s="476"/>
      <c r="D22" s="476"/>
      <c r="E22" s="69" t="s">
        <v>98</v>
      </c>
      <c r="F22" s="55">
        <f>'Прил 7 Перечень мероприятий'!J17</f>
        <v>350</v>
      </c>
      <c r="G22" s="324"/>
    </row>
    <row r="23" spans="1:14" ht="15.75" customHeight="1" x14ac:dyDescent="0.2">
      <c r="A23" s="467"/>
      <c r="B23" s="321"/>
      <c r="C23" s="476"/>
      <c r="D23" s="476"/>
      <c r="E23" s="69" t="s">
        <v>99</v>
      </c>
      <c r="F23" s="55">
        <f>'Прил 7 Перечень мероприятий'!K17</f>
        <v>350</v>
      </c>
      <c r="G23" s="324"/>
    </row>
    <row r="24" spans="1:14" ht="11.25" customHeight="1" x14ac:dyDescent="0.2">
      <c r="A24" s="467" t="s">
        <v>212</v>
      </c>
      <c r="B24" s="321" t="s">
        <v>158</v>
      </c>
      <c r="C24" s="476" t="s">
        <v>336</v>
      </c>
      <c r="D24" s="476"/>
      <c r="E24" s="73" t="s">
        <v>53</v>
      </c>
      <c r="F24" s="182">
        <f>SUM(F25:F29)</f>
        <v>237278.72094</v>
      </c>
      <c r="G24" s="324"/>
    </row>
    <row r="25" spans="1:14" ht="11.25" customHeight="1" x14ac:dyDescent="0.2">
      <c r="A25" s="467"/>
      <c r="B25" s="321"/>
      <c r="C25" s="476"/>
      <c r="D25" s="476"/>
      <c r="E25" s="72" t="s">
        <v>4</v>
      </c>
      <c r="F25" s="55">
        <f>'Прил 7 Перечень мероприятий'!G19</f>
        <v>51118.31</v>
      </c>
      <c r="G25" s="324"/>
    </row>
    <row r="26" spans="1:14" ht="11.25" customHeight="1" x14ac:dyDescent="0.2">
      <c r="A26" s="467"/>
      <c r="B26" s="321"/>
      <c r="C26" s="476"/>
      <c r="D26" s="476"/>
      <c r="E26" s="72" t="s">
        <v>52</v>
      </c>
      <c r="F26" s="55">
        <f>'Прил 7 Перечень мероприятий'!H18</f>
        <v>47053.110939999999</v>
      </c>
      <c r="G26" s="324"/>
    </row>
    <row r="27" spans="1:14" ht="11.25" customHeight="1" x14ac:dyDescent="0.2">
      <c r="A27" s="467"/>
      <c r="B27" s="321"/>
      <c r="C27" s="476"/>
      <c r="D27" s="476"/>
      <c r="E27" s="72" t="s">
        <v>97</v>
      </c>
      <c r="F27" s="55">
        <f>'Прил 7 Перечень мероприятий'!I19</f>
        <v>46369.1</v>
      </c>
      <c r="G27" s="324"/>
      <c r="N27" s="18">
        <f>F25*30.2%</f>
        <v>15437.729619999998</v>
      </c>
    </row>
    <row r="28" spans="1:14" ht="11.25" customHeight="1" x14ac:dyDescent="0.2">
      <c r="A28" s="467"/>
      <c r="B28" s="321"/>
      <c r="C28" s="476"/>
      <c r="D28" s="476"/>
      <c r="E28" s="72" t="s">
        <v>98</v>
      </c>
      <c r="F28" s="55">
        <f>'Прил 7 Перечень мероприятий'!J19</f>
        <v>46369.1</v>
      </c>
      <c r="G28" s="324"/>
      <c r="N28" s="18">
        <f>F26-N27</f>
        <v>31615.38132</v>
      </c>
    </row>
    <row r="29" spans="1:14" ht="11.25" customHeight="1" x14ac:dyDescent="0.2">
      <c r="A29" s="467"/>
      <c r="B29" s="321"/>
      <c r="C29" s="476"/>
      <c r="D29" s="476"/>
      <c r="E29" s="72" t="s">
        <v>99</v>
      </c>
      <c r="F29" s="55">
        <f>'Прил 7 Перечень мероприятий'!K19</f>
        <v>46369.1</v>
      </c>
      <c r="G29" s="324"/>
    </row>
    <row r="30" spans="1:14" ht="9.75" customHeight="1" x14ac:dyDescent="0.2">
      <c r="A30" s="460" t="s">
        <v>235</v>
      </c>
      <c r="B30" s="321" t="s">
        <v>158</v>
      </c>
      <c r="C30" s="472" t="s">
        <v>183</v>
      </c>
      <c r="D30" s="473"/>
      <c r="E30" s="73" t="s">
        <v>53</v>
      </c>
      <c r="F30" s="182">
        <f>SUM(F31:F35)</f>
        <v>15843.32288</v>
      </c>
      <c r="G30" s="324"/>
    </row>
    <row r="31" spans="1:14" ht="9.75" customHeight="1" x14ac:dyDescent="0.2">
      <c r="A31" s="455"/>
      <c r="B31" s="321"/>
      <c r="C31" s="474"/>
      <c r="D31" s="475"/>
      <c r="E31" s="72" t="s">
        <v>4</v>
      </c>
      <c r="F31" s="55">
        <f>'Прил 7 Перечень мероприятий'!G21</f>
        <v>2820</v>
      </c>
      <c r="G31" s="324"/>
    </row>
    <row r="32" spans="1:14" ht="9.75" customHeight="1" x14ac:dyDescent="0.2">
      <c r="A32" s="455"/>
      <c r="B32" s="321"/>
      <c r="C32" s="474"/>
      <c r="D32" s="475"/>
      <c r="E32" s="72" t="s">
        <v>52</v>
      </c>
      <c r="F32" s="55">
        <f>'Прил 7 Перечень мероприятий'!H20</f>
        <v>3990.6228799999999</v>
      </c>
      <c r="G32" s="324"/>
    </row>
    <row r="33" spans="1:7" ht="9.75" customHeight="1" x14ac:dyDescent="0.2">
      <c r="A33" s="455"/>
      <c r="B33" s="321"/>
      <c r="C33" s="474"/>
      <c r="D33" s="475"/>
      <c r="E33" s="72" t="s">
        <v>97</v>
      </c>
      <c r="F33" s="55">
        <f>'Прил 7 Перечень мероприятий'!I21</f>
        <v>2932.7</v>
      </c>
      <c r="G33" s="324"/>
    </row>
    <row r="34" spans="1:7" ht="9.75" customHeight="1" x14ac:dyDescent="0.2">
      <c r="A34" s="455"/>
      <c r="B34" s="321"/>
      <c r="C34" s="474"/>
      <c r="D34" s="475"/>
      <c r="E34" s="72" t="s">
        <v>98</v>
      </c>
      <c r="F34" s="55">
        <f>'Прил 7 Перечень мероприятий'!J21</f>
        <v>3050</v>
      </c>
      <c r="G34" s="324"/>
    </row>
    <row r="35" spans="1:7" ht="12.75" customHeight="1" x14ac:dyDescent="0.2">
      <c r="A35" s="455"/>
      <c r="B35" s="321"/>
      <c r="C35" s="474"/>
      <c r="D35" s="475"/>
      <c r="E35" s="72" t="s">
        <v>99</v>
      </c>
      <c r="F35" s="55">
        <f>'Прил 7 Перечень мероприятий'!K21</f>
        <v>3050</v>
      </c>
      <c r="G35" s="324"/>
    </row>
    <row r="36" spans="1:7" ht="10.5" customHeight="1" x14ac:dyDescent="0.2">
      <c r="A36" s="454" t="s">
        <v>236</v>
      </c>
      <c r="B36" s="321" t="s">
        <v>158</v>
      </c>
      <c r="C36" s="501" t="s">
        <v>206</v>
      </c>
      <c r="D36" s="515"/>
      <c r="E36" s="73" t="s">
        <v>53</v>
      </c>
      <c r="F36" s="182">
        <f>SUM(F37:F41)</f>
        <v>4777.5539599999993</v>
      </c>
      <c r="G36" s="324"/>
    </row>
    <row r="37" spans="1:7" ht="10.5" customHeight="1" x14ac:dyDescent="0.2">
      <c r="A37" s="455"/>
      <c r="B37" s="321"/>
      <c r="C37" s="516"/>
      <c r="D37" s="517"/>
      <c r="E37" s="72" t="s">
        <v>4</v>
      </c>
      <c r="F37" s="55">
        <f>'Прил 7 Перечень мероприятий'!G23</f>
        <v>1165.0999999999999</v>
      </c>
      <c r="G37" s="324"/>
    </row>
    <row r="38" spans="1:7" ht="10.5" customHeight="1" x14ac:dyDescent="0.2">
      <c r="A38" s="455"/>
      <c r="B38" s="321"/>
      <c r="C38" s="516"/>
      <c r="D38" s="517"/>
      <c r="E38" s="72" t="s">
        <v>52</v>
      </c>
      <c r="F38" s="55">
        <f>'Прил 7 Перечень мероприятий'!H22</f>
        <v>117.15396000000001</v>
      </c>
      <c r="G38" s="324"/>
    </row>
    <row r="39" spans="1:7" ht="10.5" customHeight="1" x14ac:dyDescent="0.2">
      <c r="A39" s="455"/>
      <c r="B39" s="321"/>
      <c r="C39" s="516"/>
      <c r="D39" s="517"/>
      <c r="E39" s="72" t="s">
        <v>97</v>
      </c>
      <c r="F39" s="55">
        <f>'Прил 7 Перечень мероприятий'!I23</f>
        <v>1165.0999999999999</v>
      </c>
      <c r="G39" s="324"/>
    </row>
    <row r="40" spans="1:7" ht="10.5" customHeight="1" x14ac:dyDescent="0.2">
      <c r="A40" s="455"/>
      <c r="B40" s="321"/>
      <c r="C40" s="516"/>
      <c r="D40" s="517"/>
      <c r="E40" s="72" t="s">
        <v>98</v>
      </c>
      <c r="F40" s="55">
        <f>'Прил 7 Перечень мероприятий'!J23</f>
        <v>1165.0999999999999</v>
      </c>
      <c r="G40" s="324"/>
    </row>
    <row r="41" spans="1:7" ht="14.25" customHeight="1" x14ac:dyDescent="0.2">
      <c r="A41" s="455"/>
      <c r="B41" s="321"/>
      <c r="C41" s="516"/>
      <c r="D41" s="517"/>
      <c r="E41" s="72" t="s">
        <v>99</v>
      </c>
      <c r="F41" s="55">
        <f>'Прил 7 Перечень мероприятий'!K23</f>
        <v>1165.0999999999999</v>
      </c>
      <c r="G41" s="324"/>
    </row>
    <row r="42" spans="1:7" ht="21" customHeight="1" x14ac:dyDescent="0.2">
      <c r="A42" s="454" t="s">
        <v>237</v>
      </c>
      <c r="B42" s="321" t="s">
        <v>158</v>
      </c>
      <c r="C42" s="501" t="s">
        <v>343</v>
      </c>
      <c r="D42" s="502"/>
      <c r="E42" s="76" t="s">
        <v>53</v>
      </c>
      <c r="F42" s="182">
        <f>SUM(F43:F47)</f>
        <v>17583.099999999999</v>
      </c>
      <c r="G42" s="324"/>
    </row>
    <row r="43" spans="1:7" ht="21" customHeight="1" x14ac:dyDescent="0.2">
      <c r="A43" s="455"/>
      <c r="B43" s="321"/>
      <c r="C43" s="503"/>
      <c r="D43" s="504"/>
      <c r="E43" s="75" t="s">
        <v>4</v>
      </c>
      <c r="F43" s="55">
        <f>'Прил 7 Перечень мероприятий'!G25</f>
        <v>1958.2</v>
      </c>
      <c r="G43" s="324"/>
    </row>
    <row r="44" spans="1:7" ht="21" customHeight="1" x14ac:dyDescent="0.2">
      <c r="A44" s="455"/>
      <c r="B44" s="321"/>
      <c r="C44" s="503"/>
      <c r="D44" s="504"/>
      <c r="E44" s="75" t="s">
        <v>52</v>
      </c>
      <c r="F44" s="55">
        <f>'Прил 7 Перечень мероприятий'!H24</f>
        <v>1460.7</v>
      </c>
      <c r="G44" s="324"/>
    </row>
    <row r="45" spans="1:7" ht="21" customHeight="1" x14ac:dyDescent="0.2">
      <c r="A45" s="455"/>
      <c r="B45" s="321"/>
      <c r="C45" s="503"/>
      <c r="D45" s="504"/>
      <c r="E45" s="75" t="s">
        <v>97</v>
      </c>
      <c r="F45" s="55">
        <f>'Прил 7 Перечень мероприятий'!I25</f>
        <v>4721.3999999999996</v>
      </c>
      <c r="G45" s="324"/>
    </row>
    <row r="46" spans="1:7" ht="16.5" customHeight="1" x14ac:dyDescent="0.2">
      <c r="A46" s="455"/>
      <c r="B46" s="321"/>
      <c r="C46" s="503"/>
      <c r="D46" s="504"/>
      <c r="E46" s="75" t="s">
        <v>98</v>
      </c>
      <c r="F46" s="55">
        <f>'Прил 7 Перечень мероприятий'!J25</f>
        <v>4721.3999999999996</v>
      </c>
      <c r="G46" s="324"/>
    </row>
    <row r="47" spans="1:7" ht="44.25" customHeight="1" x14ac:dyDescent="0.2">
      <c r="A47" s="455"/>
      <c r="B47" s="321"/>
      <c r="C47" s="503"/>
      <c r="D47" s="504"/>
      <c r="E47" s="75" t="s">
        <v>99</v>
      </c>
      <c r="F47" s="55">
        <f>'Прил 7 Перечень мероприятий'!K25</f>
        <v>4721.3999999999996</v>
      </c>
      <c r="G47" s="324"/>
    </row>
    <row r="48" spans="1:7" ht="24.75" customHeight="1" x14ac:dyDescent="0.2">
      <c r="A48" s="454" t="s">
        <v>238</v>
      </c>
      <c r="B48" s="321" t="s">
        <v>158</v>
      </c>
      <c r="C48" s="501" t="s">
        <v>403</v>
      </c>
      <c r="D48" s="502"/>
      <c r="E48" s="76" t="s">
        <v>53</v>
      </c>
      <c r="F48" s="182">
        <f>SUM(F49:F53)</f>
        <v>8527.100269999999</v>
      </c>
      <c r="G48" s="324"/>
    </row>
    <row r="49" spans="1:7" ht="24.75" customHeight="1" x14ac:dyDescent="0.2">
      <c r="A49" s="455"/>
      <c r="B49" s="321"/>
      <c r="C49" s="503"/>
      <c r="D49" s="504"/>
      <c r="E49" s="75" t="s">
        <v>4</v>
      </c>
      <c r="F49" s="55">
        <f>'Прил 7 Перечень мероприятий'!G27</f>
        <v>879.96755000000007</v>
      </c>
      <c r="G49" s="324"/>
    </row>
    <row r="50" spans="1:7" ht="24.75" customHeight="1" x14ac:dyDescent="0.2">
      <c r="A50" s="455"/>
      <c r="B50" s="321"/>
      <c r="C50" s="503"/>
      <c r="D50" s="504"/>
      <c r="E50" s="75" t="s">
        <v>52</v>
      </c>
      <c r="F50" s="55">
        <f>'Прил 7 Перечень мероприятий'!H26</f>
        <v>1347.1327200000001</v>
      </c>
      <c r="G50" s="324"/>
    </row>
    <row r="51" spans="1:7" ht="24.75" customHeight="1" x14ac:dyDescent="0.2">
      <c r="A51" s="455"/>
      <c r="B51" s="321"/>
      <c r="C51" s="503"/>
      <c r="D51" s="504"/>
      <c r="E51" s="75" t="s">
        <v>97</v>
      </c>
      <c r="F51" s="55">
        <f>'Прил 7 Перечень мероприятий'!I27</f>
        <v>2100</v>
      </c>
      <c r="G51" s="324"/>
    </row>
    <row r="52" spans="1:7" ht="35.25" customHeight="1" x14ac:dyDescent="0.2">
      <c r="A52" s="455"/>
      <c r="B52" s="321"/>
      <c r="C52" s="503"/>
      <c r="D52" s="504"/>
      <c r="E52" s="75" t="s">
        <v>98</v>
      </c>
      <c r="F52" s="55">
        <f>'Прил 7 Перечень мероприятий'!J27</f>
        <v>2100</v>
      </c>
      <c r="G52" s="324"/>
    </row>
    <row r="53" spans="1:7" ht="64.5" customHeight="1" x14ac:dyDescent="0.2">
      <c r="A53" s="455"/>
      <c r="B53" s="321"/>
      <c r="C53" s="503"/>
      <c r="D53" s="504"/>
      <c r="E53" s="75" t="s">
        <v>99</v>
      </c>
      <c r="F53" s="55">
        <f>'Прил 7 Перечень мероприятий'!K27</f>
        <v>2100</v>
      </c>
      <c r="G53" s="324"/>
    </row>
    <row r="54" spans="1:7" ht="16.5" customHeight="1" x14ac:dyDescent="0.2">
      <c r="A54" s="454" t="s">
        <v>239</v>
      </c>
      <c r="B54" s="321" t="s">
        <v>158</v>
      </c>
      <c r="C54" s="472" t="s">
        <v>398</v>
      </c>
      <c r="D54" s="473"/>
      <c r="E54" s="76" t="s">
        <v>53</v>
      </c>
      <c r="F54" s="182">
        <f>SUM(F55:F59)</f>
        <v>6906.1</v>
      </c>
      <c r="G54" s="324"/>
    </row>
    <row r="55" spans="1:7" ht="16.5" customHeight="1" x14ac:dyDescent="0.2">
      <c r="A55" s="455"/>
      <c r="B55" s="321"/>
      <c r="C55" s="474"/>
      <c r="D55" s="475"/>
      <c r="E55" s="75" t="s">
        <v>4</v>
      </c>
      <c r="F55" s="55">
        <f>'Прил 7 Перечень мероприятий'!G29</f>
        <v>846.1</v>
      </c>
      <c r="G55" s="324"/>
    </row>
    <row r="56" spans="1:7" ht="16.5" customHeight="1" x14ac:dyDescent="0.2">
      <c r="A56" s="455"/>
      <c r="B56" s="321"/>
      <c r="C56" s="474"/>
      <c r="D56" s="475"/>
      <c r="E56" s="75" t="s">
        <v>52</v>
      </c>
      <c r="F56" s="55">
        <f>'Прил 7 Перечень мероприятий'!H28</f>
        <v>0</v>
      </c>
      <c r="G56" s="324"/>
    </row>
    <row r="57" spans="1:7" ht="16.5" customHeight="1" x14ac:dyDescent="0.2">
      <c r="A57" s="455"/>
      <c r="B57" s="321"/>
      <c r="C57" s="474"/>
      <c r="D57" s="475"/>
      <c r="E57" s="75" t="s">
        <v>97</v>
      </c>
      <c r="F57" s="55">
        <f>'Прил 7 Перечень мероприятий'!I29</f>
        <v>2020</v>
      </c>
      <c r="G57" s="324"/>
    </row>
    <row r="58" spans="1:7" ht="16.5" customHeight="1" x14ac:dyDescent="0.2">
      <c r="A58" s="455"/>
      <c r="B58" s="321"/>
      <c r="C58" s="474"/>
      <c r="D58" s="475"/>
      <c r="E58" s="75" t="s">
        <v>98</v>
      </c>
      <c r="F58" s="55">
        <f>'Прил 7 Перечень мероприятий'!J29</f>
        <v>2020</v>
      </c>
      <c r="G58" s="324"/>
    </row>
    <row r="59" spans="1:7" ht="36" customHeight="1" x14ac:dyDescent="0.2">
      <c r="A59" s="455"/>
      <c r="B59" s="321"/>
      <c r="C59" s="474"/>
      <c r="D59" s="475"/>
      <c r="E59" s="75" t="s">
        <v>99</v>
      </c>
      <c r="F59" s="55">
        <f>'Прил 7 Перечень мероприятий'!K29</f>
        <v>2020</v>
      </c>
      <c r="G59" s="324"/>
    </row>
    <row r="60" spans="1:7" ht="12" customHeight="1" x14ac:dyDescent="0.2">
      <c r="A60" s="454" t="s">
        <v>240</v>
      </c>
      <c r="B60" s="321" t="s">
        <v>158</v>
      </c>
      <c r="C60" s="501" t="s">
        <v>260</v>
      </c>
      <c r="D60" s="502"/>
      <c r="E60" s="73" t="s">
        <v>53</v>
      </c>
      <c r="F60" s="182">
        <f>SUM(F61:F65)</f>
        <v>200.7</v>
      </c>
      <c r="G60" s="324"/>
    </row>
    <row r="61" spans="1:7" ht="12" customHeight="1" x14ac:dyDescent="0.2">
      <c r="A61" s="455"/>
      <c r="B61" s="321"/>
      <c r="C61" s="503"/>
      <c r="D61" s="504"/>
      <c r="E61" s="72" t="s">
        <v>4</v>
      </c>
      <c r="F61" s="55">
        <f>'Прил 7 Перечень мероприятий'!G31</f>
        <v>0</v>
      </c>
      <c r="G61" s="324"/>
    </row>
    <row r="62" spans="1:7" ht="12" customHeight="1" x14ac:dyDescent="0.2">
      <c r="A62" s="455"/>
      <c r="B62" s="321"/>
      <c r="C62" s="503"/>
      <c r="D62" s="504"/>
      <c r="E62" s="72" t="s">
        <v>52</v>
      </c>
      <c r="F62" s="55">
        <f>'Прил 7 Перечень мероприятий'!H30</f>
        <v>50.7</v>
      </c>
      <c r="G62" s="324"/>
    </row>
    <row r="63" spans="1:7" ht="12" customHeight="1" x14ac:dyDescent="0.2">
      <c r="A63" s="455"/>
      <c r="B63" s="321"/>
      <c r="C63" s="503"/>
      <c r="D63" s="504"/>
      <c r="E63" s="72" t="s">
        <v>97</v>
      </c>
      <c r="F63" s="55">
        <f>'Прил 7 Перечень мероприятий'!I31</f>
        <v>50</v>
      </c>
      <c r="G63" s="324"/>
    </row>
    <row r="64" spans="1:7" ht="12" customHeight="1" x14ac:dyDescent="0.2">
      <c r="A64" s="455"/>
      <c r="B64" s="321"/>
      <c r="C64" s="503"/>
      <c r="D64" s="504"/>
      <c r="E64" s="72" t="s">
        <v>98</v>
      </c>
      <c r="F64" s="55">
        <f>'Прил 7 Перечень мероприятий'!J31</f>
        <v>50</v>
      </c>
      <c r="G64" s="324"/>
    </row>
    <row r="65" spans="1:9" ht="12" customHeight="1" x14ac:dyDescent="0.2">
      <c r="A65" s="455"/>
      <c r="B65" s="321"/>
      <c r="C65" s="503"/>
      <c r="D65" s="504"/>
      <c r="E65" s="72" t="s">
        <v>99</v>
      </c>
      <c r="F65" s="55">
        <f>'Прил 7 Перечень мероприятий'!K31</f>
        <v>50</v>
      </c>
      <c r="G65" s="324"/>
    </row>
    <row r="66" spans="1:9" ht="9.75" customHeight="1" x14ac:dyDescent="0.2">
      <c r="A66" s="454" t="s">
        <v>241</v>
      </c>
      <c r="B66" s="321" t="s">
        <v>158</v>
      </c>
      <c r="C66" s="501" t="s">
        <v>288</v>
      </c>
      <c r="D66" s="502"/>
      <c r="E66" s="73" t="s">
        <v>53</v>
      </c>
      <c r="F66" s="182">
        <f>SUM(F67:F71)</f>
        <v>1136.568</v>
      </c>
      <c r="G66" s="324"/>
    </row>
    <row r="67" spans="1:9" ht="9.75" customHeight="1" x14ac:dyDescent="0.2">
      <c r="A67" s="455"/>
      <c r="B67" s="321"/>
      <c r="C67" s="503"/>
      <c r="D67" s="504"/>
      <c r="E67" s="72" t="s">
        <v>4</v>
      </c>
      <c r="F67" s="55">
        <f>'Прил 7 Перечень мероприятий'!G33</f>
        <v>56.567999999999998</v>
      </c>
      <c r="G67" s="324"/>
    </row>
    <row r="68" spans="1:9" ht="9.75" customHeight="1" x14ac:dyDescent="0.2">
      <c r="A68" s="455"/>
      <c r="B68" s="321"/>
      <c r="C68" s="503"/>
      <c r="D68" s="504"/>
      <c r="E68" s="72" t="s">
        <v>52</v>
      </c>
      <c r="F68" s="55">
        <f>'Прил 7 Перечень мероприятий'!H33</f>
        <v>0</v>
      </c>
      <c r="G68" s="324"/>
    </row>
    <row r="69" spans="1:9" ht="9.75" customHeight="1" x14ac:dyDescent="0.2">
      <c r="A69" s="455"/>
      <c r="B69" s="321"/>
      <c r="C69" s="503"/>
      <c r="D69" s="504"/>
      <c r="E69" s="72" t="s">
        <v>97</v>
      </c>
      <c r="F69" s="55">
        <f>'Прил 7 Перечень мероприятий'!I33</f>
        <v>360</v>
      </c>
      <c r="G69" s="324"/>
    </row>
    <row r="70" spans="1:9" ht="9.75" customHeight="1" x14ac:dyDescent="0.2">
      <c r="A70" s="455"/>
      <c r="B70" s="321"/>
      <c r="C70" s="503"/>
      <c r="D70" s="504"/>
      <c r="E70" s="72" t="s">
        <v>98</v>
      </c>
      <c r="F70" s="55">
        <f>'Прил 7 Перечень мероприятий'!J33</f>
        <v>360</v>
      </c>
      <c r="G70" s="324"/>
    </row>
    <row r="71" spans="1:9" ht="24.75" customHeight="1" x14ac:dyDescent="0.2">
      <c r="A71" s="455"/>
      <c r="B71" s="321"/>
      <c r="C71" s="503"/>
      <c r="D71" s="504"/>
      <c r="E71" s="72" t="s">
        <v>99</v>
      </c>
      <c r="F71" s="55">
        <f>'Прил 7 Перечень мероприятий'!K33</f>
        <v>360</v>
      </c>
      <c r="G71" s="324"/>
    </row>
    <row r="72" spans="1:9" ht="13.5" customHeight="1" x14ac:dyDescent="0.2">
      <c r="A72" s="454" t="s">
        <v>242</v>
      </c>
      <c r="B72" s="321" t="s">
        <v>158</v>
      </c>
      <c r="C72" s="472" t="s">
        <v>281</v>
      </c>
      <c r="D72" s="473"/>
      <c r="E72" s="73" t="s">
        <v>53</v>
      </c>
      <c r="F72" s="182">
        <f>SUM(F73:F77)</f>
        <v>1475</v>
      </c>
      <c r="G72" s="324"/>
    </row>
    <row r="73" spans="1:9" ht="13.5" customHeight="1" x14ac:dyDescent="0.2">
      <c r="A73" s="455"/>
      <c r="B73" s="321"/>
      <c r="C73" s="474"/>
      <c r="D73" s="475"/>
      <c r="E73" s="72" t="s">
        <v>4</v>
      </c>
      <c r="F73" s="55">
        <f>'Прил 7 Перечень мероприятий'!G35</f>
        <v>200</v>
      </c>
      <c r="G73" s="324"/>
    </row>
    <row r="74" spans="1:9" ht="13.5" customHeight="1" x14ac:dyDescent="0.2">
      <c r="A74" s="455"/>
      <c r="B74" s="321"/>
      <c r="C74" s="474"/>
      <c r="D74" s="475"/>
      <c r="E74" s="72" t="s">
        <v>52</v>
      </c>
      <c r="F74" s="55">
        <f>'Прил 7 Перечень мероприятий'!H35</f>
        <v>0</v>
      </c>
      <c r="G74" s="324"/>
    </row>
    <row r="75" spans="1:9" ht="13.5" customHeight="1" x14ac:dyDescent="0.2">
      <c r="A75" s="455"/>
      <c r="B75" s="321"/>
      <c r="C75" s="474"/>
      <c r="D75" s="475"/>
      <c r="E75" s="72" t="s">
        <v>97</v>
      </c>
      <c r="F75" s="55">
        <f>'Прил 7 Перечень мероприятий'!I35</f>
        <v>425</v>
      </c>
      <c r="G75" s="324"/>
    </row>
    <row r="76" spans="1:9" ht="13.5" customHeight="1" x14ac:dyDescent="0.2">
      <c r="A76" s="455"/>
      <c r="B76" s="321"/>
      <c r="C76" s="474"/>
      <c r="D76" s="475"/>
      <c r="E76" s="72" t="s">
        <v>98</v>
      </c>
      <c r="F76" s="55">
        <f>'Прил 7 Перечень мероприятий'!J35</f>
        <v>425</v>
      </c>
      <c r="G76" s="324"/>
    </row>
    <row r="77" spans="1:9" ht="13.5" customHeight="1" x14ac:dyDescent="0.2">
      <c r="A77" s="455"/>
      <c r="B77" s="346"/>
      <c r="C77" s="474"/>
      <c r="D77" s="475"/>
      <c r="E77" s="84" t="s">
        <v>99</v>
      </c>
      <c r="F77" s="183">
        <f>'Прил 7 Перечень мероприятий'!K35</f>
        <v>425</v>
      </c>
      <c r="G77" s="471"/>
    </row>
    <row r="78" spans="1:9" s="87" customFormat="1" ht="18" customHeight="1" x14ac:dyDescent="0.2">
      <c r="A78" s="495" t="s">
        <v>204</v>
      </c>
      <c r="B78" s="497" t="s">
        <v>158</v>
      </c>
      <c r="C78" s="101"/>
      <c r="D78" s="498" t="s">
        <v>393</v>
      </c>
      <c r="E78" s="103" t="s">
        <v>53</v>
      </c>
      <c r="F78" s="180">
        <f>SUM(F79:F83)</f>
        <v>1383.9933000000001</v>
      </c>
      <c r="G78" s="370"/>
      <c r="I78" s="177"/>
    </row>
    <row r="79" spans="1:9" s="87" customFormat="1" ht="18" customHeight="1" x14ac:dyDescent="0.2">
      <c r="A79" s="486"/>
      <c r="B79" s="497"/>
      <c r="C79" s="101"/>
      <c r="D79" s="499"/>
      <c r="E79" s="102" t="s">
        <v>4</v>
      </c>
      <c r="F79" s="184">
        <f>'Прил 7 Перечень мероприятий'!G37</f>
        <v>194.82329999999999</v>
      </c>
      <c r="G79" s="420"/>
      <c r="I79" s="177"/>
    </row>
    <row r="80" spans="1:9" s="87" customFormat="1" ht="18" customHeight="1" x14ac:dyDescent="0.2">
      <c r="A80" s="486"/>
      <c r="B80" s="497"/>
      <c r="C80" s="101"/>
      <c r="D80" s="499"/>
      <c r="E80" s="102" t="s">
        <v>52</v>
      </c>
      <c r="F80" s="184">
        <f>'Прил 7 Перечень мероприятий'!H37</f>
        <v>289.17</v>
      </c>
      <c r="G80" s="420"/>
      <c r="I80" s="177"/>
    </row>
    <row r="81" spans="1:9" s="87" customFormat="1" ht="18" customHeight="1" x14ac:dyDescent="0.2">
      <c r="A81" s="486"/>
      <c r="B81" s="497"/>
      <c r="C81" s="101"/>
      <c r="D81" s="499"/>
      <c r="E81" s="102" t="s">
        <v>97</v>
      </c>
      <c r="F81" s="184">
        <f>'Прил 7 Перечень мероприятий'!I37</f>
        <v>300</v>
      </c>
      <c r="G81" s="420"/>
      <c r="I81" s="177"/>
    </row>
    <row r="82" spans="1:9" s="87" customFormat="1" ht="18" customHeight="1" x14ac:dyDescent="0.2">
      <c r="A82" s="486"/>
      <c r="B82" s="497"/>
      <c r="C82" s="101"/>
      <c r="D82" s="499"/>
      <c r="E82" s="102" t="s">
        <v>98</v>
      </c>
      <c r="F82" s="184">
        <f>'Прил 7 Перечень мероприятий'!J37</f>
        <v>300</v>
      </c>
      <c r="G82" s="420"/>
      <c r="I82" s="177"/>
    </row>
    <row r="83" spans="1:9" s="87" customFormat="1" ht="18" customHeight="1" x14ac:dyDescent="0.2">
      <c r="A83" s="486"/>
      <c r="B83" s="370"/>
      <c r="C83" s="101"/>
      <c r="D83" s="499"/>
      <c r="E83" s="100" t="s">
        <v>99</v>
      </c>
      <c r="F83" s="184">
        <f>'Прил 7 Перечень мероприятий'!K37</f>
        <v>300</v>
      </c>
      <c r="G83" s="371"/>
      <c r="I83" s="177"/>
    </row>
    <row r="84" spans="1:9" s="87" customFormat="1" ht="33" customHeight="1" x14ac:dyDescent="0.2">
      <c r="A84" s="495" t="s">
        <v>265</v>
      </c>
      <c r="B84" s="497" t="s">
        <v>158</v>
      </c>
      <c r="C84" s="101"/>
      <c r="D84" s="481" t="s">
        <v>270</v>
      </c>
      <c r="E84" s="103" t="s">
        <v>53</v>
      </c>
      <c r="F84" s="180">
        <f>SUM(F85:F89)</f>
        <v>885.3</v>
      </c>
      <c r="G84" s="370"/>
      <c r="I84" s="177"/>
    </row>
    <row r="85" spans="1:9" s="87" customFormat="1" ht="33" customHeight="1" x14ac:dyDescent="0.2">
      <c r="A85" s="486"/>
      <c r="B85" s="497"/>
      <c r="C85" s="101"/>
      <c r="D85" s="482"/>
      <c r="E85" s="102" t="s">
        <v>4</v>
      </c>
      <c r="F85" s="184">
        <f>'Прил 7 Перечень мероприятий'!G39</f>
        <v>99.5</v>
      </c>
      <c r="G85" s="420"/>
      <c r="I85" s="177"/>
    </row>
    <row r="86" spans="1:9" s="87" customFormat="1" ht="33" customHeight="1" x14ac:dyDescent="0.2">
      <c r="A86" s="486"/>
      <c r="B86" s="497"/>
      <c r="C86" s="101"/>
      <c r="D86" s="482"/>
      <c r="E86" s="102" t="s">
        <v>52</v>
      </c>
      <c r="F86" s="184">
        <f>'Прил 7 Перечень мероприятий'!H39</f>
        <v>185.8</v>
      </c>
      <c r="G86" s="420"/>
      <c r="I86" s="177"/>
    </row>
    <row r="87" spans="1:9" s="87" customFormat="1" ht="33" customHeight="1" x14ac:dyDescent="0.2">
      <c r="A87" s="486"/>
      <c r="B87" s="497"/>
      <c r="C87" s="101"/>
      <c r="D87" s="482"/>
      <c r="E87" s="102" t="s">
        <v>97</v>
      </c>
      <c r="F87" s="184">
        <f>'Прил 7 Перечень мероприятий'!I39</f>
        <v>200</v>
      </c>
      <c r="G87" s="420"/>
      <c r="I87" s="177"/>
    </row>
    <row r="88" spans="1:9" s="87" customFormat="1" ht="33" customHeight="1" x14ac:dyDescent="0.2">
      <c r="A88" s="486"/>
      <c r="B88" s="497"/>
      <c r="C88" s="101"/>
      <c r="D88" s="482"/>
      <c r="E88" s="102" t="s">
        <v>98</v>
      </c>
      <c r="F88" s="184">
        <f>'Прил 7 Перечень мероприятий'!J39</f>
        <v>200</v>
      </c>
      <c r="G88" s="420"/>
      <c r="I88" s="177"/>
    </row>
    <row r="89" spans="1:9" s="87" customFormat="1" ht="33" customHeight="1" x14ac:dyDescent="0.2">
      <c r="A89" s="486"/>
      <c r="B89" s="370"/>
      <c r="C89" s="101"/>
      <c r="D89" s="482"/>
      <c r="E89" s="100" t="s">
        <v>99</v>
      </c>
      <c r="F89" s="184">
        <f>'Прил 7 Перечень мероприятий'!K39</f>
        <v>200</v>
      </c>
      <c r="G89" s="371"/>
      <c r="I89" s="177"/>
    </row>
    <row r="90" spans="1:9" s="87" customFormat="1" ht="18" customHeight="1" x14ac:dyDescent="0.2">
      <c r="A90" s="495" t="s">
        <v>266</v>
      </c>
      <c r="B90" s="497" t="s">
        <v>158</v>
      </c>
      <c r="C90" s="139"/>
      <c r="D90" s="481" t="s">
        <v>269</v>
      </c>
      <c r="E90" s="150" t="s">
        <v>53</v>
      </c>
      <c r="F90" s="180">
        <f>SUM(F91:F95)</f>
        <v>116.67946000000001</v>
      </c>
      <c r="G90" s="370"/>
      <c r="I90" s="177"/>
    </row>
    <row r="91" spans="1:9" s="87" customFormat="1" ht="11.25" customHeight="1" x14ac:dyDescent="0.2">
      <c r="A91" s="486"/>
      <c r="B91" s="497"/>
      <c r="C91" s="139"/>
      <c r="D91" s="482"/>
      <c r="E91" s="149" t="s">
        <v>4</v>
      </c>
      <c r="F91" s="184">
        <f>'Прил 7 Перечень мероприятий'!G41</f>
        <v>21.726299999999998</v>
      </c>
      <c r="G91" s="420"/>
      <c r="I91" s="177"/>
    </row>
    <row r="92" spans="1:9" s="87" customFormat="1" ht="16.5" customHeight="1" x14ac:dyDescent="0.2">
      <c r="A92" s="486"/>
      <c r="B92" s="497"/>
      <c r="C92" s="139"/>
      <c r="D92" s="482"/>
      <c r="E92" s="149" t="s">
        <v>52</v>
      </c>
      <c r="F92" s="184">
        <f>'Прил 7 Перечень мероприятий'!H41</f>
        <v>19.95316</v>
      </c>
      <c r="G92" s="420"/>
      <c r="I92" s="177"/>
    </row>
    <row r="93" spans="1:9" s="87" customFormat="1" ht="16.5" customHeight="1" x14ac:dyDescent="0.2">
      <c r="A93" s="486"/>
      <c r="B93" s="497"/>
      <c r="C93" s="139"/>
      <c r="D93" s="482"/>
      <c r="E93" s="149" t="s">
        <v>97</v>
      </c>
      <c r="F93" s="184">
        <f>'Прил 7 Перечень мероприятий'!I41</f>
        <v>25</v>
      </c>
      <c r="G93" s="420"/>
      <c r="I93" s="177"/>
    </row>
    <row r="94" spans="1:9" s="87" customFormat="1" ht="12" customHeight="1" x14ac:dyDescent="0.2">
      <c r="A94" s="486"/>
      <c r="B94" s="497"/>
      <c r="C94" s="139"/>
      <c r="D94" s="482"/>
      <c r="E94" s="149" t="s">
        <v>98</v>
      </c>
      <c r="F94" s="184">
        <f>'Прил 7 Перечень мероприятий'!J41</f>
        <v>25</v>
      </c>
      <c r="G94" s="420"/>
      <c r="I94" s="177"/>
    </row>
    <row r="95" spans="1:9" s="87" customFormat="1" ht="16.5" customHeight="1" x14ac:dyDescent="0.2">
      <c r="A95" s="486"/>
      <c r="B95" s="370"/>
      <c r="C95" s="139"/>
      <c r="D95" s="482"/>
      <c r="E95" s="148" t="s">
        <v>99</v>
      </c>
      <c r="F95" s="184">
        <f>'Прил 7 Перечень мероприятий'!K41</f>
        <v>25</v>
      </c>
      <c r="G95" s="371"/>
      <c r="I95" s="177"/>
    </row>
    <row r="96" spans="1:9" s="87" customFormat="1" ht="20.25" customHeight="1" x14ac:dyDescent="0.2">
      <c r="A96" s="495" t="s">
        <v>345</v>
      </c>
      <c r="B96" s="497" t="s">
        <v>158</v>
      </c>
      <c r="C96" s="139"/>
      <c r="D96" s="481" t="s">
        <v>346</v>
      </c>
      <c r="E96" s="273" t="s">
        <v>53</v>
      </c>
      <c r="F96" s="180">
        <f>SUM(F97:F101)</f>
        <v>885.3</v>
      </c>
      <c r="G96" s="370"/>
      <c r="I96" s="177"/>
    </row>
    <row r="97" spans="1:9" s="87" customFormat="1" x14ac:dyDescent="0.2">
      <c r="A97" s="486"/>
      <c r="B97" s="497"/>
      <c r="C97" s="139"/>
      <c r="D97" s="482"/>
      <c r="E97" s="277" t="s">
        <v>4</v>
      </c>
      <c r="F97" s="184">
        <f>'Прил 7 Перечень мероприятий'!G39</f>
        <v>99.5</v>
      </c>
      <c r="G97" s="420"/>
      <c r="I97" s="177"/>
    </row>
    <row r="98" spans="1:9" s="87" customFormat="1" x14ac:dyDescent="0.2">
      <c r="A98" s="486"/>
      <c r="B98" s="497"/>
      <c r="C98" s="139"/>
      <c r="D98" s="482"/>
      <c r="E98" s="277" t="s">
        <v>52</v>
      </c>
      <c r="F98" s="184">
        <f>'Прил 7 Перечень мероприятий'!H39</f>
        <v>185.8</v>
      </c>
      <c r="G98" s="420"/>
      <c r="I98" s="177"/>
    </row>
    <row r="99" spans="1:9" s="87" customFormat="1" x14ac:dyDescent="0.2">
      <c r="A99" s="486"/>
      <c r="B99" s="497"/>
      <c r="C99" s="139"/>
      <c r="D99" s="482"/>
      <c r="E99" s="277" t="s">
        <v>97</v>
      </c>
      <c r="F99" s="184">
        <f>'Прил 7 Перечень мероприятий'!I39</f>
        <v>200</v>
      </c>
      <c r="G99" s="420"/>
      <c r="I99" s="177"/>
    </row>
    <row r="100" spans="1:9" s="87" customFormat="1" x14ac:dyDescent="0.2">
      <c r="A100" s="486"/>
      <c r="B100" s="497"/>
      <c r="C100" s="139"/>
      <c r="D100" s="482"/>
      <c r="E100" s="277" t="s">
        <v>98</v>
      </c>
      <c r="F100" s="184">
        <f>'Прил 7 Перечень мероприятий'!I39</f>
        <v>200</v>
      </c>
      <c r="G100" s="420"/>
      <c r="I100" s="177"/>
    </row>
    <row r="101" spans="1:9" s="87" customFormat="1" x14ac:dyDescent="0.2">
      <c r="A101" s="486"/>
      <c r="B101" s="370"/>
      <c r="C101" s="139"/>
      <c r="D101" s="482"/>
      <c r="E101" s="272" t="s">
        <v>99</v>
      </c>
      <c r="F101" s="184">
        <f>'Прил 7 Перечень мероприятий'!K39</f>
        <v>200</v>
      </c>
      <c r="G101" s="371"/>
      <c r="I101" s="177"/>
    </row>
    <row r="102" spans="1:9" s="87" customFormat="1" ht="14.25" customHeight="1" x14ac:dyDescent="0.2">
      <c r="A102" s="495" t="s">
        <v>456</v>
      </c>
      <c r="B102" s="497" t="s">
        <v>158</v>
      </c>
      <c r="C102" s="139"/>
      <c r="D102" s="481" t="s">
        <v>453</v>
      </c>
      <c r="E102" s="153" t="s">
        <v>53</v>
      </c>
      <c r="F102" s="180">
        <f>SUM(F103:F107)</f>
        <v>32.799999999999997</v>
      </c>
      <c r="G102" s="370"/>
      <c r="I102" s="177"/>
    </row>
    <row r="103" spans="1:9" s="87" customFormat="1" ht="14.25" customHeight="1" x14ac:dyDescent="0.2">
      <c r="A103" s="486"/>
      <c r="B103" s="497"/>
      <c r="C103" s="139"/>
      <c r="D103" s="482"/>
      <c r="E103" s="152" t="s">
        <v>4</v>
      </c>
      <c r="F103" s="184">
        <f>'Прил 7 Перечень мероприятий'!G45</f>
        <v>0</v>
      </c>
      <c r="G103" s="420"/>
      <c r="I103" s="177"/>
    </row>
    <row r="104" spans="1:9" s="87" customFormat="1" ht="14.25" customHeight="1" x14ac:dyDescent="0.2">
      <c r="A104" s="486"/>
      <c r="B104" s="497"/>
      <c r="C104" s="139"/>
      <c r="D104" s="482"/>
      <c r="E104" s="152" t="s">
        <v>52</v>
      </c>
      <c r="F104" s="184">
        <f>'Прил 7 Перечень мероприятий'!H45</f>
        <v>32.799999999999997</v>
      </c>
      <c r="G104" s="420"/>
      <c r="I104" s="177"/>
    </row>
    <row r="105" spans="1:9" s="87" customFormat="1" ht="14.25" customHeight="1" x14ac:dyDescent="0.2">
      <c r="A105" s="486"/>
      <c r="B105" s="497"/>
      <c r="C105" s="139"/>
      <c r="D105" s="482"/>
      <c r="E105" s="152" t="s">
        <v>97</v>
      </c>
      <c r="F105" s="184">
        <f>'Прил 7 Перечень мероприятий'!I45</f>
        <v>0</v>
      </c>
      <c r="G105" s="420"/>
      <c r="I105" s="177"/>
    </row>
    <row r="106" spans="1:9" s="87" customFormat="1" ht="14.25" customHeight="1" x14ac:dyDescent="0.2">
      <c r="A106" s="486"/>
      <c r="B106" s="497"/>
      <c r="C106" s="139"/>
      <c r="D106" s="482"/>
      <c r="E106" s="152" t="s">
        <v>98</v>
      </c>
      <c r="F106" s="184">
        <f>'Прил 7 Перечень мероприятий'!I45</f>
        <v>0</v>
      </c>
      <c r="G106" s="420"/>
      <c r="I106" s="177"/>
    </row>
    <row r="107" spans="1:9" s="87" customFormat="1" ht="14.25" customHeight="1" x14ac:dyDescent="0.2">
      <c r="A107" s="486"/>
      <c r="B107" s="370"/>
      <c r="C107" s="139"/>
      <c r="D107" s="482"/>
      <c r="E107" s="151" t="s">
        <v>99</v>
      </c>
      <c r="F107" s="184">
        <f>'Прил 7 Перечень мероприятий'!K45</f>
        <v>0</v>
      </c>
      <c r="G107" s="371"/>
      <c r="I107" s="177"/>
    </row>
    <row r="108" spans="1:9" s="87" customFormat="1" x14ac:dyDescent="0.2">
      <c r="A108" s="495" t="s">
        <v>154</v>
      </c>
      <c r="B108" s="487" t="s">
        <v>259</v>
      </c>
      <c r="C108" s="327" t="s">
        <v>112</v>
      </c>
      <c r="D108" s="327"/>
      <c r="E108" s="74" t="s">
        <v>53</v>
      </c>
      <c r="F108" s="185">
        <f>F109+F110+F111+F112+F113</f>
        <v>45286.595459999997</v>
      </c>
      <c r="G108" s="524"/>
      <c r="I108" s="177"/>
    </row>
    <row r="109" spans="1:9" s="87" customFormat="1" x14ac:dyDescent="0.2">
      <c r="A109" s="486"/>
      <c r="B109" s="487"/>
      <c r="C109" s="327"/>
      <c r="D109" s="327"/>
      <c r="E109" s="61" t="s">
        <v>4</v>
      </c>
      <c r="F109" s="186">
        <f>'Прил 7 Перечень мероприятий'!G46</f>
        <v>38279.5524</v>
      </c>
      <c r="G109" s="524"/>
      <c r="I109" s="177"/>
    </row>
    <row r="110" spans="1:9" s="87" customFormat="1" x14ac:dyDescent="0.2">
      <c r="A110" s="486"/>
      <c r="B110" s="487"/>
      <c r="C110" s="327"/>
      <c r="D110" s="327"/>
      <c r="E110" s="61" t="s">
        <v>52</v>
      </c>
      <c r="F110" s="184">
        <f>'Прил 7 Перечень мероприятий'!H47</f>
        <v>7007.04306</v>
      </c>
      <c r="G110" s="524"/>
      <c r="I110" s="177"/>
    </row>
    <row r="111" spans="1:9" s="87" customFormat="1" x14ac:dyDescent="0.2">
      <c r="A111" s="486"/>
      <c r="B111" s="487"/>
      <c r="C111" s="327"/>
      <c r="D111" s="327"/>
      <c r="E111" s="61" t="s">
        <v>97</v>
      </c>
      <c r="F111" s="184">
        <f>F135</f>
        <v>0</v>
      </c>
      <c r="G111" s="524"/>
      <c r="I111" s="177"/>
    </row>
    <row r="112" spans="1:9" s="87" customFormat="1" x14ac:dyDescent="0.2">
      <c r="A112" s="486"/>
      <c r="B112" s="487"/>
      <c r="C112" s="327"/>
      <c r="D112" s="327"/>
      <c r="E112" s="61" t="s">
        <v>98</v>
      </c>
      <c r="F112" s="184">
        <f>'Прил 7 Перечень мероприятий'!J47</f>
        <v>0</v>
      </c>
      <c r="G112" s="524"/>
      <c r="I112" s="177"/>
    </row>
    <row r="113" spans="1:9" s="87" customFormat="1" x14ac:dyDescent="0.2">
      <c r="A113" s="486"/>
      <c r="B113" s="443"/>
      <c r="C113" s="327"/>
      <c r="D113" s="327"/>
      <c r="E113" s="61" t="s">
        <v>99</v>
      </c>
      <c r="F113" s="184">
        <f>'Прил 7 Перечень мероприятий'!K47</f>
        <v>0</v>
      </c>
      <c r="G113" s="524"/>
      <c r="I113" s="177"/>
    </row>
    <row r="114" spans="1:9" s="87" customFormat="1" ht="13.5" customHeight="1" x14ac:dyDescent="0.2">
      <c r="A114" s="495" t="s">
        <v>187</v>
      </c>
      <c r="B114" s="497" t="s">
        <v>158</v>
      </c>
      <c r="C114" s="62"/>
      <c r="D114" s="370"/>
      <c r="E114" s="74" t="s">
        <v>53</v>
      </c>
      <c r="F114" s="180">
        <f>F115+F116+F117+F118+F119</f>
        <v>0</v>
      </c>
      <c r="G114" s="370"/>
      <c r="I114" s="177"/>
    </row>
    <row r="115" spans="1:9" s="87" customFormat="1" ht="13.5" customHeight="1" x14ac:dyDescent="0.2">
      <c r="A115" s="486"/>
      <c r="B115" s="497"/>
      <c r="C115" s="62"/>
      <c r="D115" s="420"/>
      <c r="E115" s="61" t="s">
        <v>4</v>
      </c>
      <c r="F115" s="184">
        <f>'Прил 7 Перечень мероприятий'!G51</f>
        <v>0</v>
      </c>
      <c r="G115" s="420"/>
      <c r="I115" s="177"/>
    </row>
    <row r="116" spans="1:9" s="87" customFormat="1" ht="13.5" customHeight="1" x14ac:dyDescent="0.2">
      <c r="A116" s="486"/>
      <c r="B116" s="497"/>
      <c r="C116" s="62"/>
      <c r="D116" s="420"/>
      <c r="E116" s="61" t="s">
        <v>52</v>
      </c>
      <c r="F116" s="184">
        <f>'Прил 7 Перечень мероприятий'!H51</f>
        <v>0</v>
      </c>
      <c r="G116" s="420"/>
      <c r="I116" s="177"/>
    </row>
    <row r="117" spans="1:9" s="87" customFormat="1" ht="13.5" customHeight="1" x14ac:dyDescent="0.2">
      <c r="A117" s="486"/>
      <c r="B117" s="497"/>
      <c r="C117" s="62"/>
      <c r="D117" s="420"/>
      <c r="E117" s="61" t="s">
        <v>97</v>
      </c>
      <c r="F117" s="184">
        <f>'Прил 7 Перечень мероприятий'!I51</f>
        <v>0</v>
      </c>
      <c r="G117" s="420"/>
      <c r="I117" s="177"/>
    </row>
    <row r="118" spans="1:9" s="87" customFormat="1" ht="13.5" customHeight="1" x14ac:dyDescent="0.2">
      <c r="A118" s="486"/>
      <c r="B118" s="497"/>
      <c r="C118" s="62"/>
      <c r="D118" s="420"/>
      <c r="E118" s="61" t="s">
        <v>98</v>
      </c>
      <c r="F118" s="184">
        <f>'Прил 7 Перечень мероприятий'!J51</f>
        <v>0</v>
      </c>
      <c r="G118" s="420"/>
      <c r="I118" s="177"/>
    </row>
    <row r="119" spans="1:9" s="87" customFormat="1" ht="13.5" customHeight="1" x14ac:dyDescent="0.2">
      <c r="A119" s="486"/>
      <c r="B119" s="370"/>
      <c r="C119" s="62"/>
      <c r="D119" s="371"/>
      <c r="E119" s="61" t="s">
        <v>99</v>
      </c>
      <c r="F119" s="184">
        <f>'Прил 7 Перечень мероприятий'!K51</f>
        <v>0</v>
      </c>
      <c r="G119" s="371"/>
      <c r="I119" s="177"/>
    </row>
    <row r="120" spans="1:9" s="87" customFormat="1" ht="12" customHeight="1" x14ac:dyDescent="0.2">
      <c r="A120" s="500" t="s">
        <v>387</v>
      </c>
      <c r="B120" s="487" t="s">
        <v>158</v>
      </c>
      <c r="C120" s="104"/>
      <c r="D120" s="449" t="s">
        <v>394</v>
      </c>
      <c r="E120" s="74" t="s">
        <v>53</v>
      </c>
      <c r="F120" s="180">
        <f>F121+F122+F123+F124+F125</f>
        <v>4346.8054599999996</v>
      </c>
      <c r="G120" s="370"/>
      <c r="I120" s="177"/>
    </row>
    <row r="121" spans="1:9" s="87" customFormat="1" ht="12" customHeight="1" x14ac:dyDescent="0.2">
      <c r="A121" s="450"/>
      <c r="B121" s="487"/>
      <c r="C121" s="104"/>
      <c r="D121" s="450"/>
      <c r="E121" s="61" t="s">
        <v>4</v>
      </c>
      <c r="F121" s="184">
        <f>'Прил 7 Перечень мероприятий'!G53</f>
        <v>799.76240000000007</v>
      </c>
      <c r="G121" s="420"/>
      <c r="I121" s="177"/>
    </row>
    <row r="122" spans="1:9" s="87" customFormat="1" ht="12" customHeight="1" x14ac:dyDescent="0.2">
      <c r="A122" s="450"/>
      <c r="B122" s="487"/>
      <c r="C122" s="104"/>
      <c r="D122" s="450"/>
      <c r="E122" s="61" t="s">
        <v>52</v>
      </c>
      <c r="F122" s="184">
        <f>'Прил 7 Перечень мероприятий'!H53</f>
        <v>3547.04306</v>
      </c>
      <c r="G122" s="420"/>
      <c r="I122" s="177"/>
    </row>
    <row r="123" spans="1:9" s="87" customFormat="1" ht="12" customHeight="1" x14ac:dyDescent="0.2">
      <c r="A123" s="450"/>
      <c r="B123" s="487"/>
      <c r="C123" s="104"/>
      <c r="D123" s="450"/>
      <c r="E123" s="61" t="s">
        <v>97</v>
      </c>
      <c r="F123" s="184">
        <f>'Прил 7 Перечень мероприятий'!I53</f>
        <v>0</v>
      </c>
      <c r="G123" s="420"/>
      <c r="I123" s="177"/>
    </row>
    <row r="124" spans="1:9" s="87" customFormat="1" ht="12" customHeight="1" x14ac:dyDescent="0.2">
      <c r="A124" s="450"/>
      <c r="B124" s="487"/>
      <c r="C124" s="104"/>
      <c r="D124" s="450"/>
      <c r="E124" s="61" t="s">
        <v>98</v>
      </c>
      <c r="F124" s="184">
        <f>'Прил 7 Перечень мероприятий'!J53</f>
        <v>0</v>
      </c>
      <c r="G124" s="420"/>
      <c r="I124" s="177"/>
    </row>
    <row r="125" spans="1:9" s="87" customFormat="1" ht="12" customHeight="1" x14ac:dyDescent="0.2">
      <c r="A125" s="450"/>
      <c r="B125" s="443"/>
      <c r="C125" s="104"/>
      <c r="D125" s="451"/>
      <c r="E125" s="61" t="s">
        <v>99</v>
      </c>
      <c r="F125" s="184">
        <f>'Прил 7 Перечень мероприятий'!K53</f>
        <v>0</v>
      </c>
      <c r="G125" s="371"/>
      <c r="I125" s="177"/>
    </row>
    <row r="126" spans="1:9" s="87" customFormat="1" ht="15.75" customHeight="1" x14ac:dyDescent="0.2">
      <c r="A126" s="390" t="s">
        <v>276</v>
      </c>
      <c r="B126" s="489" t="s">
        <v>259</v>
      </c>
      <c r="C126" s="30"/>
      <c r="D126" s="491" t="s">
        <v>274</v>
      </c>
      <c r="E126" s="220" t="s">
        <v>53</v>
      </c>
      <c r="F126" s="221">
        <f>F127+F128+F129+F130+F131</f>
        <v>5527.71</v>
      </c>
      <c r="G126" s="398"/>
      <c r="I126" s="177"/>
    </row>
    <row r="127" spans="1:9" s="87" customFormat="1" ht="15.75" customHeight="1" x14ac:dyDescent="0.2">
      <c r="A127" s="488"/>
      <c r="B127" s="489"/>
      <c r="C127" s="30"/>
      <c r="D127" s="492"/>
      <c r="E127" s="222" t="s">
        <v>4</v>
      </c>
      <c r="F127" s="223">
        <f>'Прил 7 Перечень мероприятий'!G49+'Прил 7 Перечень мероприятий'!G50+'Прил 7 Перечень мероприятий'!G56</f>
        <v>5527.71</v>
      </c>
      <c r="G127" s="494"/>
      <c r="I127" s="177"/>
    </row>
    <row r="128" spans="1:9" s="87" customFormat="1" ht="15.75" customHeight="1" x14ac:dyDescent="0.2">
      <c r="A128" s="488"/>
      <c r="B128" s="489"/>
      <c r="C128" s="30"/>
      <c r="D128" s="492"/>
      <c r="E128" s="222" t="s">
        <v>52</v>
      </c>
      <c r="F128" s="223">
        <f>'Прил 7 Перечень мероприятий'!H50</f>
        <v>0</v>
      </c>
      <c r="G128" s="494"/>
      <c r="I128" s="177"/>
    </row>
    <row r="129" spans="1:9" s="87" customFormat="1" ht="15.75" customHeight="1" x14ac:dyDescent="0.2">
      <c r="A129" s="488"/>
      <c r="B129" s="489"/>
      <c r="C129" s="30"/>
      <c r="D129" s="492"/>
      <c r="E129" s="222" t="s">
        <v>97</v>
      </c>
      <c r="F129" s="223">
        <f>'Прил 7 Перечень мероприятий'!I50</f>
        <v>0</v>
      </c>
      <c r="G129" s="494"/>
      <c r="I129" s="177"/>
    </row>
    <row r="130" spans="1:9" s="87" customFormat="1" ht="15.75" customHeight="1" x14ac:dyDescent="0.2">
      <c r="A130" s="488"/>
      <c r="B130" s="489"/>
      <c r="C130" s="30"/>
      <c r="D130" s="492"/>
      <c r="E130" s="222" t="s">
        <v>98</v>
      </c>
      <c r="F130" s="223">
        <f>'Прил 7 Перечень мероприятий'!J50</f>
        <v>0</v>
      </c>
      <c r="G130" s="494"/>
      <c r="I130" s="177"/>
    </row>
    <row r="131" spans="1:9" s="87" customFormat="1" ht="15.75" customHeight="1" x14ac:dyDescent="0.2">
      <c r="A131" s="488"/>
      <c r="B131" s="490"/>
      <c r="C131" s="30"/>
      <c r="D131" s="493"/>
      <c r="E131" s="222" t="s">
        <v>99</v>
      </c>
      <c r="F131" s="223">
        <f>'Прил 7 Перечень мероприятий'!K50</f>
        <v>0</v>
      </c>
      <c r="G131" s="399"/>
      <c r="I131" s="177"/>
    </row>
    <row r="132" spans="1:9" s="87" customFormat="1" ht="15.75" customHeight="1" x14ac:dyDescent="0.2">
      <c r="A132" s="485" t="s">
        <v>389</v>
      </c>
      <c r="B132" s="487" t="s">
        <v>259</v>
      </c>
      <c r="C132" s="139"/>
      <c r="D132" s="449" t="s">
        <v>274</v>
      </c>
      <c r="E132" s="141" t="s">
        <v>53</v>
      </c>
      <c r="F132" s="180">
        <f>F133+F134+F135+F136+F137</f>
        <v>0</v>
      </c>
      <c r="G132" s="370"/>
      <c r="I132" s="177"/>
    </row>
    <row r="133" spans="1:9" s="87" customFormat="1" ht="15.75" customHeight="1" x14ac:dyDescent="0.2">
      <c r="A133" s="486"/>
      <c r="B133" s="487"/>
      <c r="C133" s="139"/>
      <c r="D133" s="450"/>
      <c r="E133" s="138" t="s">
        <v>4</v>
      </c>
      <c r="F133" s="184">
        <f>'Прил 7 Перечень мероприятий'!G59</f>
        <v>0</v>
      </c>
      <c r="G133" s="420"/>
      <c r="I133" s="177"/>
    </row>
    <row r="134" spans="1:9" s="87" customFormat="1" ht="15.75" customHeight="1" x14ac:dyDescent="0.2">
      <c r="A134" s="486"/>
      <c r="B134" s="487"/>
      <c r="C134" s="139"/>
      <c r="D134" s="450"/>
      <c r="E134" s="138" t="s">
        <v>52</v>
      </c>
      <c r="F134" s="184">
        <f>'Прил 7 Перечень мероприятий'!H59</f>
        <v>0</v>
      </c>
      <c r="G134" s="420"/>
      <c r="I134" s="177"/>
    </row>
    <row r="135" spans="1:9" s="87" customFormat="1" ht="15.75" customHeight="1" x14ac:dyDescent="0.2">
      <c r="A135" s="486"/>
      <c r="B135" s="487"/>
      <c r="C135" s="139"/>
      <c r="D135" s="450"/>
      <c r="E135" s="138" t="s">
        <v>97</v>
      </c>
      <c r="F135" s="184">
        <f>'Прил 7 Перечень мероприятий'!I58</f>
        <v>0</v>
      </c>
      <c r="G135" s="420"/>
      <c r="I135" s="177"/>
    </row>
    <row r="136" spans="1:9" s="87" customFormat="1" ht="15.75" customHeight="1" x14ac:dyDescent="0.2">
      <c r="A136" s="486"/>
      <c r="B136" s="487"/>
      <c r="C136" s="139"/>
      <c r="D136" s="450"/>
      <c r="E136" s="138" t="s">
        <v>98</v>
      </c>
      <c r="F136" s="184">
        <f>'Прил 7 Перечень мероприятий'!J59</f>
        <v>0</v>
      </c>
      <c r="G136" s="420"/>
      <c r="I136" s="177"/>
    </row>
    <row r="137" spans="1:9" s="87" customFormat="1" ht="15.75" customHeight="1" x14ac:dyDescent="0.2">
      <c r="A137" s="486"/>
      <c r="B137" s="443"/>
      <c r="C137" s="139"/>
      <c r="D137" s="451"/>
      <c r="E137" s="138" t="s">
        <v>99</v>
      </c>
      <c r="F137" s="184">
        <f>'Прил 7 Перечень мероприятий'!K59</f>
        <v>0</v>
      </c>
      <c r="G137" s="371"/>
      <c r="I137" s="177"/>
    </row>
    <row r="138" spans="1:9" s="87" customFormat="1" ht="14.25" customHeight="1" x14ac:dyDescent="0.2">
      <c r="A138" s="495" t="s">
        <v>402</v>
      </c>
      <c r="B138" s="487" t="s">
        <v>259</v>
      </c>
      <c r="C138" s="139"/>
      <c r="D138" s="449" t="s">
        <v>395</v>
      </c>
      <c r="E138" s="226" t="s">
        <v>53</v>
      </c>
      <c r="F138" s="180">
        <f>F139+F140+F141+F142+F143</f>
        <v>3460</v>
      </c>
      <c r="G138" s="370"/>
      <c r="I138" s="177"/>
    </row>
    <row r="139" spans="1:9" s="87" customFormat="1" ht="14.25" customHeight="1" x14ac:dyDescent="0.2">
      <c r="A139" s="486"/>
      <c r="B139" s="487"/>
      <c r="C139" s="139"/>
      <c r="D139" s="483"/>
      <c r="E139" s="229" t="s">
        <v>4</v>
      </c>
      <c r="F139" s="184">
        <v>0</v>
      </c>
      <c r="G139" s="420"/>
      <c r="I139" s="177"/>
    </row>
    <row r="140" spans="1:9" s="87" customFormat="1" ht="14.25" customHeight="1" x14ac:dyDescent="0.2">
      <c r="A140" s="486"/>
      <c r="B140" s="487"/>
      <c r="C140" s="139"/>
      <c r="D140" s="483"/>
      <c r="E140" s="229" t="s">
        <v>52</v>
      </c>
      <c r="F140" s="184">
        <f>'Прил 7 Перечень мероприятий'!H62</f>
        <v>3460</v>
      </c>
      <c r="G140" s="420"/>
      <c r="I140" s="177"/>
    </row>
    <row r="141" spans="1:9" s="87" customFormat="1" ht="14.25" customHeight="1" x14ac:dyDescent="0.2">
      <c r="A141" s="486"/>
      <c r="B141" s="487"/>
      <c r="C141" s="139"/>
      <c r="D141" s="483"/>
      <c r="E141" s="229" t="s">
        <v>97</v>
      </c>
      <c r="F141" s="184">
        <v>0</v>
      </c>
      <c r="G141" s="420"/>
      <c r="I141" s="177"/>
    </row>
    <row r="142" spans="1:9" s="87" customFormat="1" ht="14.25" customHeight="1" x14ac:dyDescent="0.2">
      <c r="A142" s="486"/>
      <c r="B142" s="487"/>
      <c r="C142" s="139"/>
      <c r="D142" s="483"/>
      <c r="E142" s="229" t="s">
        <v>98</v>
      </c>
      <c r="F142" s="184">
        <v>0</v>
      </c>
      <c r="G142" s="420"/>
      <c r="I142" s="177"/>
    </row>
    <row r="143" spans="1:9" s="87" customFormat="1" ht="21.75" customHeight="1" x14ac:dyDescent="0.2">
      <c r="A143" s="486"/>
      <c r="B143" s="443"/>
      <c r="C143" s="139"/>
      <c r="D143" s="484"/>
      <c r="E143" s="229" t="s">
        <v>99</v>
      </c>
      <c r="F143" s="184">
        <v>0</v>
      </c>
      <c r="G143" s="371"/>
      <c r="I143" s="177"/>
    </row>
    <row r="144" spans="1:9" s="87" customFormat="1" ht="14.25" customHeight="1" x14ac:dyDescent="0.2">
      <c r="A144" s="495" t="s">
        <v>409</v>
      </c>
      <c r="B144" s="487" t="s">
        <v>55</v>
      </c>
      <c r="C144" s="139"/>
      <c r="D144" s="449" t="s">
        <v>410</v>
      </c>
      <c r="E144" s="74" t="s">
        <v>53</v>
      </c>
      <c r="F144" s="180">
        <f>F145+F146+F147+F148+F149</f>
        <v>150000</v>
      </c>
      <c r="G144" s="370"/>
      <c r="I144" s="177"/>
    </row>
    <row r="145" spans="1:9" s="87" customFormat="1" ht="14.25" customHeight="1" x14ac:dyDescent="0.2">
      <c r="A145" s="486"/>
      <c r="B145" s="487"/>
      <c r="C145" s="139"/>
      <c r="D145" s="483"/>
      <c r="E145" s="61" t="s">
        <v>4</v>
      </c>
      <c r="F145" s="184">
        <v>0</v>
      </c>
      <c r="G145" s="420"/>
      <c r="I145" s="177"/>
    </row>
    <row r="146" spans="1:9" s="87" customFormat="1" ht="14.25" customHeight="1" x14ac:dyDescent="0.2">
      <c r="A146" s="486"/>
      <c r="B146" s="487"/>
      <c r="C146" s="139"/>
      <c r="D146" s="483"/>
      <c r="E146" s="61" t="s">
        <v>52</v>
      </c>
      <c r="F146" s="184">
        <f>'Прил 7 Перечень мероприятий'!H64</f>
        <v>150000</v>
      </c>
      <c r="G146" s="420"/>
      <c r="I146" s="177"/>
    </row>
    <row r="147" spans="1:9" s="87" customFormat="1" ht="14.25" customHeight="1" x14ac:dyDescent="0.2">
      <c r="A147" s="486"/>
      <c r="B147" s="487"/>
      <c r="C147" s="139"/>
      <c r="D147" s="483"/>
      <c r="E147" s="61" t="s">
        <v>97</v>
      </c>
      <c r="F147" s="184">
        <v>0</v>
      </c>
      <c r="G147" s="420"/>
      <c r="I147" s="177"/>
    </row>
    <row r="148" spans="1:9" s="87" customFormat="1" ht="14.25" customHeight="1" x14ac:dyDescent="0.2">
      <c r="A148" s="486"/>
      <c r="B148" s="487"/>
      <c r="C148" s="139"/>
      <c r="D148" s="483"/>
      <c r="E148" s="61" t="s">
        <v>98</v>
      </c>
      <c r="F148" s="184">
        <v>0</v>
      </c>
      <c r="G148" s="420"/>
      <c r="I148" s="177"/>
    </row>
    <row r="149" spans="1:9" s="87" customFormat="1" ht="14.25" customHeight="1" x14ac:dyDescent="0.2">
      <c r="A149" s="486"/>
      <c r="B149" s="443"/>
      <c r="C149" s="139"/>
      <c r="D149" s="484"/>
      <c r="E149" s="61" t="s">
        <v>99</v>
      </c>
      <c r="F149" s="184">
        <v>0</v>
      </c>
      <c r="G149" s="371"/>
      <c r="I149" s="177"/>
    </row>
    <row r="150" spans="1:9" s="87" customFormat="1" x14ac:dyDescent="0.2">
      <c r="A150" s="495" t="s">
        <v>430</v>
      </c>
      <c r="B150" s="487" t="s">
        <v>259</v>
      </c>
      <c r="C150" s="327"/>
      <c r="D150" s="327"/>
      <c r="E150" s="262" t="s">
        <v>53</v>
      </c>
      <c r="F150" s="185">
        <f>F151+F152+F153+F154+F155</f>
        <v>952.5</v>
      </c>
      <c r="G150" s="524"/>
      <c r="I150" s="177"/>
    </row>
    <row r="151" spans="1:9" s="87" customFormat="1" x14ac:dyDescent="0.2">
      <c r="A151" s="486"/>
      <c r="B151" s="487"/>
      <c r="C151" s="327"/>
      <c r="D151" s="327"/>
      <c r="E151" s="263" t="s">
        <v>4</v>
      </c>
      <c r="F151" s="186">
        <f>'Прил 7 Перечень мероприятий'!G88</f>
        <v>924.5</v>
      </c>
      <c r="G151" s="524"/>
      <c r="I151" s="177"/>
    </row>
    <row r="152" spans="1:9" s="87" customFormat="1" x14ac:dyDescent="0.2">
      <c r="A152" s="486"/>
      <c r="B152" s="487"/>
      <c r="C152" s="327"/>
      <c r="D152" s="327"/>
      <c r="E152" s="263" t="s">
        <v>52</v>
      </c>
      <c r="F152" s="184">
        <f>'Прил 7 Перечень мероприятий'!H89</f>
        <v>10</v>
      </c>
      <c r="G152" s="524"/>
      <c r="I152" s="177"/>
    </row>
    <row r="153" spans="1:9" s="87" customFormat="1" x14ac:dyDescent="0.2">
      <c r="A153" s="486"/>
      <c r="B153" s="487"/>
      <c r="C153" s="327"/>
      <c r="D153" s="327"/>
      <c r="E153" s="263" t="s">
        <v>97</v>
      </c>
      <c r="F153" s="184">
        <f>F183</f>
        <v>18</v>
      </c>
      <c r="G153" s="524"/>
      <c r="I153" s="177"/>
    </row>
    <row r="154" spans="1:9" s="87" customFormat="1" x14ac:dyDescent="0.2">
      <c r="A154" s="486"/>
      <c r="B154" s="487"/>
      <c r="C154" s="327"/>
      <c r="D154" s="327"/>
      <c r="E154" s="263" t="s">
        <v>98</v>
      </c>
      <c r="F154" s="184">
        <f>'Прил 7 Перечень мероприятий'!J89</f>
        <v>0</v>
      </c>
      <c r="G154" s="524"/>
      <c r="I154" s="177"/>
    </row>
    <row r="155" spans="1:9" s="87" customFormat="1" x14ac:dyDescent="0.2">
      <c r="A155" s="486"/>
      <c r="B155" s="443"/>
      <c r="C155" s="327"/>
      <c r="D155" s="327"/>
      <c r="E155" s="263" t="s">
        <v>99</v>
      </c>
      <c r="F155" s="184">
        <f>'Прил 7 Перечень мероприятий'!K89</f>
        <v>0</v>
      </c>
      <c r="G155" s="524"/>
      <c r="I155" s="177"/>
    </row>
    <row r="156" spans="1:9" s="87" customFormat="1" ht="14.25" customHeight="1" x14ac:dyDescent="0.2">
      <c r="A156" s="495" t="s">
        <v>431</v>
      </c>
      <c r="B156" s="487" t="s">
        <v>259</v>
      </c>
      <c r="C156" s="139"/>
      <c r="D156" s="449" t="s">
        <v>432</v>
      </c>
      <c r="E156" s="262" t="s">
        <v>53</v>
      </c>
      <c r="F156" s="180">
        <f>F157+F158+F159+F160+F161</f>
        <v>7939.2</v>
      </c>
      <c r="G156" s="370"/>
      <c r="I156" s="177"/>
    </row>
    <row r="157" spans="1:9" s="87" customFormat="1" ht="14.25" customHeight="1" x14ac:dyDescent="0.2">
      <c r="A157" s="486"/>
      <c r="B157" s="487"/>
      <c r="C157" s="139"/>
      <c r="D157" s="483"/>
      <c r="E157" s="263" t="s">
        <v>4</v>
      </c>
      <c r="F157" s="184">
        <v>0</v>
      </c>
      <c r="G157" s="420"/>
      <c r="I157" s="177"/>
    </row>
    <row r="158" spans="1:9" s="87" customFormat="1" ht="14.25" customHeight="1" x14ac:dyDescent="0.2">
      <c r="A158" s="486"/>
      <c r="B158" s="487"/>
      <c r="C158" s="139"/>
      <c r="D158" s="483"/>
      <c r="E158" s="263" t="s">
        <v>52</v>
      </c>
      <c r="F158" s="184">
        <v>0</v>
      </c>
      <c r="G158" s="420"/>
      <c r="I158" s="177"/>
    </row>
    <row r="159" spans="1:9" s="87" customFormat="1" ht="14.25" customHeight="1" x14ac:dyDescent="0.2">
      <c r="A159" s="486"/>
      <c r="B159" s="487"/>
      <c r="C159" s="139"/>
      <c r="D159" s="483"/>
      <c r="E159" s="263" t="s">
        <v>97</v>
      </c>
      <c r="F159" s="184">
        <f>'Прил 7 Перечень мероприятий'!I69</f>
        <v>7939.2</v>
      </c>
      <c r="G159" s="420"/>
      <c r="I159" s="177"/>
    </row>
    <row r="160" spans="1:9" s="87" customFormat="1" ht="14.25" customHeight="1" x14ac:dyDescent="0.2">
      <c r="A160" s="486"/>
      <c r="B160" s="487"/>
      <c r="C160" s="139"/>
      <c r="D160" s="483"/>
      <c r="E160" s="263" t="s">
        <v>98</v>
      </c>
      <c r="F160" s="184">
        <v>0</v>
      </c>
      <c r="G160" s="420"/>
      <c r="I160" s="177"/>
    </row>
    <row r="161" spans="1:9" s="87" customFormat="1" ht="21" customHeight="1" x14ac:dyDescent="0.2">
      <c r="A161" s="486"/>
      <c r="B161" s="443"/>
      <c r="C161" s="139"/>
      <c r="D161" s="484"/>
      <c r="E161" s="263" t="s">
        <v>99</v>
      </c>
      <c r="F161" s="184">
        <v>0</v>
      </c>
      <c r="G161" s="371"/>
      <c r="I161" s="177"/>
    </row>
    <row r="162" spans="1:9" ht="19.5" customHeight="1" x14ac:dyDescent="0.2">
      <c r="A162" s="448" t="s">
        <v>81</v>
      </c>
      <c r="B162" s="448"/>
      <c r="C162" s="448"/>
      <c r="D162" s="448"/>
      <c r="E162" s="448"/>
      <c r="F162" s="448"/>
      <c r="G162" s="448"/>
      <c r="I162" s="178">
        <f>F168+F174+F180+F186+F192+F198+F204+F210+F216+F222+F228+F234+F240+F246+F252+F258+F276</f>
        <v>172255.32621999996</v>
      </c>
    </row>
    <row r="163" spans="1:9" ht="15" customHeight="1" x14ac:dyDescent="0.2">
      <c r="A163" s="525" t="s">
        <v>157</v>
      </c>
      <c r="B163" s="506"/>
      <c r="C163" s="509"/>
      <c r="D163" s="509"/>
      <c r="E163" s="479"/>
      <c r="F163" s="510"/>
      <c r="G163" s="324"/>
    </row>
    <row r="164" spans="1:9" ht="12.75" customHeight="1" x14ac:dyDescent="0.2">
      <c r="A164" s="507"/>
      <c r="B164" s="508"/>
      <c r="C164" s="509"/>
      <c r="D164" s="509"/>
      <c r="E164" s="480"/>
      <c r="F164" s="511"/>
      <c r="G164" s="324"/>
    </row>
    <row r="165" spans="1:9" ht="15" customHeight="1" x14ac:dyDescent="0.2">
      <c r="A165" s="507"/>
      <c r="B165" s="508"/>
      <c r="C165" s="509"/>
      <c r="D165" s="509"/>
      <c r="E165" s="480"/>
      <c r="F165" s="511"/>
      <c r="G165" s="324"/>
    </row>
    <row r="166" spans="1:9" ht="13.5" customHeight="1" x14ac:dyDescent="0.2">
      <c r="A166" s="507"/>
      <c r="B166" s="508"/>
      <c r="C166" s="509"/>
      <c r="D166" s="509"/>
      <c r="E166" s="480"/>
      <c r="F166" s="511"/>
      <c r="G166" s="324"/>
    </row>
    <row r="167" spans="1:9" ht="3" hidden="1" customHeight="1" x14ac:dyDescent="0.2">
      <c r="A167" s="507"/>
      <c r="B167" s="508"/>
      <c r="C167" s="509"/>
      <c r="D167" s="509"/>
      <c r="E167" s="480"/>
      <c r="F167" s="511"/>
      <c r="G167" s="324"/>
    </row>
    <row r="168" spans="1:9" ht="14.25" customHeight="1" x14ac:dyDescent="0.2">
      <c r="A168" s="460" t="s">
        <v>225</v>
      </c>
      <c r="B168" s="321" t="s">
        <v>158</v>
      </c>
      <c r="C168" s="456" t="s">
        <v>344</v>
      </c>
      <c r="D168" s="457"/>
      <c r="E168" s="73" t="s">
        <v>53</v>
      </c>
      <c r="F168" s="182">
        <f>SUM(F169:F173)</f>
        <v>133829.58189</v>
      </c>
      <c r="G168" s="324"/>
    </row>
    <row r="169" spans="1:9" ht="14.25" customHeight="1" x14ac:dyDescent="0.2">
      <c r="A169" s="455"/>
      <c r="B169" s="321"/>
      <c r="C169" s="458"/>
      <c r="D169" s="459"/>
      <c r="E169" s="72" t="s">
        <v>4</v>
      </c>
      <c r="F169" s="55">
        <f>'Прил 7 Перечень мероприятий'!G80</f>
        <v>25761.599999999999</v>
      </c>
      <c r="G169" s="324"/>
    </row>
    <row r="170" spans="1:9" ht="14.25" customHeight="1" x14ac:dyDescent="0.2">
      <c r="A170" s="455"/>
      <c r="B170" s="321"/>
      <c r="C170" s="458"/>
      <c r="D170" s="459"/>
      <c r="E170" s="72" t="s">
        <v>52</v>
      </c>
      <c r="F170" s="55">
        <f>'Прил 7 Перечень мероприятий'!H80</f>
        <v>24731.581890000001</v>
      </c>
      <c r="G170" s="324"/>
    </row>
    <row r="171" spans="1:9" ht="14.25" customHeight="1" x14ac:dyDescent="0.2">
      <c r="A171" s="455"/>
      <c r="B171" s="321"/>
      <c r="C171" s="458"/>
      <c r="D171" s="459"/>
      <c r="E171" s="72" t="s">
        <v>97</v>
      </c>
      <c r="F171" s="55">
        <f>'Прил 7 Перечень мероприятий'!I80</f>
        <v>27778.799999999999</v>
      </c>
      <c r="G171" s="324"/>
    </row>
    <row r="172" spans="1:9" ht="14.25" customHeight="1" x14ac:dyDescent="0.2">
      <c r="A172" s="455"/>
      <c r="B172" s="321"/>
      <c r="C172" s="458"/>
      <c r="D172" s="459"/>
      <c r="E172" s="72" t="s">
        <v>98</v>
      </c>
      <c r="F172" s="55">
        <f>'Прил 7 Перечень мероприятий'!J80</f>
        <v>27778.799999999999</v>
      </c>
      <c r="G172" s="324"/>
    </row>
    <row r="173" spans="1:9" ht="14.25" customHeight="1" x14ac:dyDescent="0.2">
      <c r="A173" s="455"/>
      <c r="B173" s="321"/>
      <c r="C173" s="458"/>
      <c r="D173" s="459"/>
      <c r="E173" s="72" t="s">
        <v>99</v>
      </c>
      <c r="F173" s="55">
        <f>'Прил 7 Перечень мероприятий'!K80</f>
        <v>27778.799999999999</v>
      </c>
      <c r="G173" s="324"/>
    </row>
    <row r="174" spans="1:9" ht="14.25" customHeight="1" x14ac:dyDescent="0.2">
      <c r="A174" s="454" t="s">
        <v>243</v>
      </c>
      <c r="B174" s="321" t="s">
        <v>158</v>
      </c>
      <c r="C174" s="462" t="s">
        <v>323</v>
      </c>
      <c r="D174" s="463"/>
      <c r="E174" s="73" t="s">
        <v>53</v>
      </c>
      <c r="F174" s="182">
        <f>SUM(F175:F179)</f>
        <v>6488.4314300000005</v>
      </c>
      <c r="G174" s="324"/>
    </row>
    <row r="175" spans="1:9" ht="14.25" customHeight="1" x14ac:dyDescent="0.2">
      <c r="A175" s="455"/>
      <c r="B175" s="321"/>
      <c r="C175" s="464"/>
      <c r="D175" s="465"/>
      <c r="E175" s="72" t="s">
        <v>4</v>
      </c>
      <c r="F175" s="55">
        <f>'Прил 7 Перечень мероприятий'!G82</f>
        <v>1323.5</v>
      </c>
      <c r="G175" s="324"/>
    </row>
    <row r="176" spans="1:9" ht="14.25" customHeight="1" x14ac:dyDescent="0.2">
      <c r="A176" s="455"/>
      <c r="B176" s="321"/>
      <c r="C176" s="464"/>
      <c r="D176" s="465"/>
      <c r="E176" s="72" t="s">
        <v>52</v>
      </c>
      <c r="F176" s="55">
        <f>'Прил 7 Перечень мероприятий'!H82</f>
        <v>1467.73143</v>
      </c>
      <c r="G176" s="324"/>
    </row>
    <row r="177" spans="1:7" ht="14.25" customHeight="1" x14ac:dyDescent="0.2">
      <c r="A177" s="455"/>
      <c r="B177" s="321"/>
      <c r="C177" s="464"/>
      <c r="D177" s="465"/>
      <c r="E177" s="72" t="s">
        <v>97</v>
      </c>
      <c r="F177" s="55">
        <f>'Прил 7 Перечень мероприятий'!I82</f>
        <v>1200.4000000000001</v>
      </c>
      <c r="G177" s="324"/>
    </row>
    <row r="178" spans="1:7" ht="14.25" customHeight="1" x14ac:dyDescent="0.2">
      <c r="A178" s="455"/>
      <c r="B178" s="321"/>
      <c r="C178" s="464"/>
      <c r="D178" s="465"/>
      <c r="E178" s="72" t="s">
        <v>98</v>
      </c>
      <c r="F178" s="55">
        <f>'Прил 7 Перечень мероприятий'!J82</f>
        <v>1248.4000000000001</v>
      </c>
      <c r="G178" s="324"/>
    </row>
    <row r="179" spans="1:7" ht="14.25" customHeight="1" x14ac:dyDescent="0.2">
      <c r="A179" s="455"/>
      <c r="B179" s="321"/>
      <c r="C179" s="464"/>
      <c r="D179" s="465"/>
      <c r="E179" s="72" t="s">
        <v>99</v>
      </c>
      <c r="F179" s="55">
        <f>'Прил 7 Перечень мероприятий'!K82</f>
        <v>1248.4000000000001</v>
      </c>
      <c r="G179" s="324"/>
    </row>
    <row r="180" spans="1:7" ht="11.25" customHeight="1" x14ac:dyDescent="0.2">
      <c r="A180" s="454" t="s">
        <v>244</v>
      </c>
      <c r="B180" s="321" t="s">
        <v>158</v>
      </c>
      <c r="C180" s="456" t="s">
        <v>206</v>
      </c>
      <c r="D180" s="457"/>
      <c r="E180" s="76" t="s">
        <v>53</v>
      </c>
      <c r="F180" s="182">
        <f>SUM(F181:F185)</f>
        <v>662.2</v>
      </c>
      <c r="G180" s="324"/>
    </row>
    <row r="181" spans="1:7" ht="11.25" customHeight="1" x14ac:dyDescent="0.2">
      <c r="A181" s="455"/>
      <c r="B181" s="321"/>
      <c r="C181" s="458"/>
      <c r="D181" s="459"/>
      <c r="E181" s="75" t="s">
        <v>4</v>
      </c>
      <c r="F181" s="55">
        <f>'Прил 7 Перечень мероприятий'!G84</f>
        <v>304.10000000000002</v>
      </c>
      <c r="G181" s="324"/>
    </row>
    <row r="182" spans="1:7" ht="11.25" customHeight="1" x14ac:dyDescent="0.2">
      <c r="A182" s="455"/>
      <c r="B182" s="321"/>
      <c r="C182" s="458"/>
      <c r="D182" s="459"/>
      <c r="E182" s="75" t="s">
        <v>52</v>
      </c>
      <c r="F182" s="55">
        <f>'Прил 7 Перечень мероприятий'!H84</f>
        <v>304.10000000000002</v>
      </c>
      <c r="G182" s="324"/>
    </row>
    <row r="183" spans="1:7" ht="11.25" customHeight="1" x14ac:dyDescent="0.2">
      <c r="A183" s="455"/>
      <c r="B183" s="321"/>
      <c r="C183" s="458"/>
      <c r="D183" s="459"/>
      <c r="E183" s="75" t="s">
        <v>97</v>
      </c>
      <c r="F183" s="55">
        <f>'Прил 7 Перечень мероприятий'!I84</f>
        <v>18</v>
      </c>
      <c r="G183" s="324"/>
    </row>
    <row r="184" spans="1:7" ht="11.25" customHeight="1" x14ac:dyDescent="0.2">
      <c r="A184" s="455"/>
      <c r="B184" s="321"/>
      <c r="C184" s="458"/>
      <c r="D184" s="459"/>
      <c r="E184" s="75" t="s">
        <v>98</v>
      </c>
      <c r="F184" s="55">
        <f>'Прил 7 Перечень мероприятий'!J84</f>
        <v>18</v>
      </c>
      <c r="G184" s="324"/>
    </row>
    <row r="185" spans="1:7" ht="11.25" customHeight="1" x14ac:dyDescent="0.2">
      <c r="A185" s="455"/>
      <c r="B185" s="321"/>
      <c r="C185" s="458"/>
      <c r="D185" s="459"/>
      <c r="E185" s="75" t="s">
        <v>99</v>
      </c>
      <c r="F185" s="55">
        <f>'Прил 7 Перечень мероприятий'!K84</f>
        <v>18</v>
      </c>
      <c r="G185" s="324"/>
    </row>
    <row r="186" spans="1:7" ht="15.75" customHeight="1" x14ac:dyDescent="0.2">
      <c r="A186" s="469" t="s">
        <v>245</v>
      </c>
      <c r="B186" s="321" t="s">
        <v>158</v>
      </c>
      <c r="C186" s="456" t="s">
        <v>280</v>
      </c>
      <c r="D186" s="457"/>
      <c r="E186" s="76" t="s">
        <v>53</v>
      </c>
      <c r="F186" s="182">
        <f>SUM(F187:F191)</f>
        <v>18251.872169999999</v>
      </c>
      <c r="G186" s="324"/>
    </row>
    <row r="187" spans="1:7" ht="15.75" customHeight="1" x14ac:dyDescent="0.2">
      <c r="A187" s="470"/>
      <c r="B187" s="321"/>
      <c r="C187" s="458"/>
      <c r="D187" s="459"/>
      <c r="E187" s="75" t="s">
        <v>4</v>
      </c>
      <c r="F187" s="55">
        <f>'Прил 7 Перечень мероприятий'!G86</f>
        <v>4820.3599999999997</v>
      </c>
      <c r="G187" s="324"/>
    </row>
    <row r="188" spans="1:7" ht="15.75" customHeight="1" x14ac:dyDescent="0.2">
      <c r="A188" s="470"/>
      <c r="B188" s="321"/>
      <c r="C188" s="458"/>
      <c r="D188" s="459"/>
      <c r="E188" s="75" t="s">
        <v>52</v>
      </c>
      <c r="F188" s="55">
        <f>'Прил 7 Перечень мероприятий'!H86</f>
        <v>172.11217000000002</v>
      </c>
      <c r="G188" s="324"/>
    </row>
    <row r="189" spans="1:7" ht="15.75" customHeight="1" x14ac:dyDescent="0.2">
      <c r="A189" s="470"/>
      <c r="B189" s="321"/>
      <c r="C189" s="458"/>
      <c r="D189" s="459"/>
      <c r="E189" s="75" t="s">
        <v>97</v>
      </c>
      <c r="F189" s="55">
        <f>'Прил 7 Перечень мероприятий'!I86</f>
        <v>4420.6000000000004</v>
      </c>
      <c r="G189" s="324"/>
    </row>
    <row r="190" spans="1:7" ht="15.75" customHeight="1" x14ac:dyDescent="0.2">
      <c r="A190" s="470"/>
      <c r="B190" s="321"/>
      <c r="C190" s="458"/>
      <c r="D190" s="459"/>
      <c r="E190" s="75" t="s">
        <v>98</v>
      </c>
      <c r="F190" s="55">
        <f>'Прил 7 Перечень мероприятий'!J86</f>
        <v>4419.3999999999996</v>
      </c>
      <c r="G190" s="324"/>
    </row>
    <row r="191" spans="1:7" ht="15.75" customHeight="1" x14ac:dyDescent="0.2">
      <c r="A191" s="470"/>
      <c r="B191" s="321"/>
      <c r="C191" s="458"/>
      <c r="D191" s="459"/>
      <c r="E191" s="75" t="s">
        <v>99</v>
      </c>
      <c r="F191" s="55">
        <f>'Прил 7 Перечень мероприятий'!K86</f>
        <v>4419.3999999999996</v>
      </c>
      <c r="G191" s="324"/>
    </row>
    <row r="192" spans="1:7" ht="16.5" customHeight="1" x14ac:dyDescent="0.2">
      <c r="A192" s="454" t="s">
        <v>246</v>
      </c>
      <c r="B192" s="321" t="s">
        <v>158</v>
      </c>
      <c r="C192" s="456" t="s">
        <v>461</v>
      </c>
      <c r="D192" s="457"/>
      <c r="E192" s="76" t="s">
        <v>53</v>
      </c>
      <c r="F192" s="182">
        <f>SUM(F193:F197)</f>
        <v>1419.82</v>
      </c>
      <c r="G192" s="324"/>
    </row>
    <row r="193" spans="1:7" ht="16.5" customHeight="1" x14ac:dyDescent="0.2">
      <c r="A193" s="455"/>
      <c r="B193" s="321"/>
      <c r="C193" s="458"/>
      <c r="D193" s="459"/>
      <c r="E193" s="75" t="s">
        <v>4</v>
      </c>
      <c r="F193" s="55">
        <f>'Прил 7 Перечень мероприятий'!G88</f>
        <v>924.5</v>
      </c>
      <c r="G193" s="324"/>
    </row>
    <row r="194" spans="1:7" ht="16.5" customHeight="1" x14ac:dyDescent="0.2">
      <c r="A194" s="455"/>
      <c r="B194" s="321"/>
      <c r="C194" s="458"/>
      <c r="D194" s="459"/>
      <c r="E194" s="75" t="s">
        <v>52</v>
      </c>
      <c r="F194" s="55">
        <f>'Прил 7 Перечень мероприятий'!H88</f>
        <v>450.32</v>
      </c>
      <c r="G194" s="324"/>
    </row>
    <row r="195" spans="1:7" ht="16.5" customHeight="1" x14ac:dyDescent="0.2">
      <c r="A195" s="455"/>
      <c r="B195" s="321"/>
      <c r="C195" s="458"/>
      <c r="D195" s="459"/>
      <c r="E195" s="75" t="s">
        <v>97</v>
      </c>
      <c r="F195" s="55">
        <f>'Прил 7 Перечень мероприятий'!I88</f>
        <v>15</v>
      </c>
      <c r="G195" s="324"/>
    </row>
    <row r="196" spans="1:7" ht="16.5" customHeight="1" x14ac:dyDescent="0.2">
      <c r="A196" s="455"/>
      <c r="B196" s="321"/>
      <c r="C196" s="458"/>
      <c r="D196" s="459"/>
      <c r="E196" s="75" t="s">
        <v>98</v>
      </c>
      <c r="F196" s="55">
        <f>'Прил 7 Перечень мероприятий'!J88</f>
        <v>15</v>
      </c>
      <c r="G196" s="324"/>
    </row>
    <row r="197" spans="1:7" ht="23.25" customHeight="1" x14ac:dyDescent="0.2">
      <c r="A197" s="455"/>
      <c r="B197" s="321"/>
      <c r="C197" s="458"/>
      <c r="D197" s="459"/>
      <c r="E197" s="75" t="s">
        <v>99</v>
      </c>
      <c r="F197" s="55">
        <f>'Прил 7 Перечень мероприятий'!K88</f>
        <v>15</v>
      </c>
      <c r="G197" s="324"/>
    </row>
    <row r="198" spans="1:7" ht="12.75" customHeight="1" x14ac:dyDescent="0.2">
      <c r="A198" s="454" t="s">
        <v>247</v>
      </c>
      <c r="B198" s="321" t="s">
        <v>158</v>
      </c>
      <c r="C198" s="456" t="s">
        <v>181</v>
      </c>
      <c r="D198" s="457"/>
      <c r="E198" s="76" t="s">
        <v>53</v>
      </c>
      <c r="F198" s="182">
        <f>SUM(F199:F203)</f>
        <v>35</v>
      </c>
      <c r="G198" s="324"/>
    </row>
    <row r="199" spans="1:7" ht="12.75" customHeight="1" x14ac:dyDescent="0.2">
      <c r="A199" s="455"/>
      <c r="B199" s="321"/>
      <c r="C199" s="458"/>
      <c r="D199" s="459"/>
      <c r="E199" s="75" t="s">
        <v>4</v>
      </c>
      <c r="F199" s="55">
        <f>'Прил 7 Перечень мероприятий'!G90</f>
        <v>25</v>
      </c>
      <c r="G199" s="324"/>
    </row>
    <row r="200" spans="1:7" ht="12.75" customHeight="1" x14ac:dyDescent="0.2">
      <c r="A200" s="455"/>
      <c r="B200" s="321"/>
      <c r="C200" s="458"/>
      <c r="D200" s="459"/>
      <c r="E200" s="75" t="s">
        <v>52</v>
      </c>
      <c r="F200" s="55">
        <f>'Прил 7 Перечень мероприятий'!H90</f>
        <v>10</v>
      </c>
      <c r="G200" s="324"/>
    </row>
    <row r="201" spans="1:7" ht="12.75" customHeight="1" x14ac:dyDescent="0.2">
      <c r="A201" s="455"/>
      <c r="B201" s="321"/>
      <c r="C201" s="458"/>
      <c r="D201" s="459"/>
      <c r="E201" s="75" t="s">
        <v>97</v>
      </c>
      <c r="F201" s="55">
        <f>'Прил 7 Перечень мероприятий'!I90</f>
        <v>0</v>
      </c>
      <c r="G201" s="324"/>
    </row>
    <row r="202" spans="1:7" ht="12.75" customHeight="1" x14ac:dyDescent="0.2">
      <c r="A202" s="455"/>
      <c r="B202" s="321"/>
      <c r="C202" s="458"/>
      <c r="D202" s="459"/>
      <c r="E202" s="75" t="s">
        <v>98</v>
      </c>
      <c r="F202" s="55">
        <f>'Прил 7 Перечень мероприятий'!J90</f>
        <v>0</v>
      </c>
      <c r="G202" s="324"/>
    </row>
    <row r="203" spans="1:7" ht="12.75" customHeight="1" x14ac:dyDescent="0.2">
      <c r="A203" s="455"/>
      <c r="B203" s="321"/>
      <c r="C203" s="458"/>
      <c r="D203" s="459"/>
      <c r="E203" s="75" t="s">
        <v>99</v>
      </c>
      <c r="F203" s="55">
        <f>'Прил 7 Перечень мероприятий'!K90</f>
        <v>0</v>
      </c>
      <c r="G203" s="324"/>
    </row>
    <row r="204" spans="1:7" ht="15.75" customHeight="1" x14ac:dyDescent="0.2">
      <c r="A204" s="454" t="s">
        <v>169</v>
      </c>
      <c r="B204" s="321" t="s">
        <v>158</v>
      </c>
      <c r="C204" s="456" t="s">
        <v>282</v>
      </c>
      <c r="D204" s="457"/>
      <c r="E204" s="73" t="s">
        <v>53</v>
      </c>
      <c r="F204" s="182">
        <f>SUM(F205:F209)</f>
        <v>220</v>
      </c>
      <c r="G204" s="324"/>
    </row>
    <row r="205" spans="1:7" ht="15.75" customHeight="1" x14ac:dyDescent="0.2">
      <c r="A205" s="455"/>
      <c r="B205" s="321"/>
      <c r="C205" s="458"/>
      <c r="D205" s="459"/>
      <c r="E205" s="72" t="s">
        <v>4</v>
      </c>
      <c r="F205" s="55">
        <f>'Прил 7 Перечень мероприятий'!G92</f>
        <v>29.5</v>
      </c>
      <c r="G205" s="324"/>
    </row>
    <row r="206" spans="1:7" ht="15.75" customHeight="1" x14ac:dyDescent="0.2">
      <c r="A206" s="455"/>
      <c r="B206" s="321"/>
      <c r="C206" s="458"/>
      <c r="D206" s="459"/>
      <c r="E206" s="72" t="s">
        <v>52</v>
      </c>
      <c r="F206" s="55">
        <f>'Прил 7 Перечень мероприятий'!H92</f>
        <v>34.5</v>
      </c>
      <c r="G206" s="324"/>
    </row>
    <row r="207" spans="1:7" ht="15.75" customHeight="1" x14ac:dyDescent="0.2">
      <c r="A207" s="455"/>
      <c r="B207" s="321"/>
      <c r="C207" s="458"/>
      <c r="D207" s="459"/>
      <c r="E207" s="72" t="s">
        <v>97</v>
      </c>
      <c r="F207" s="55">
        <f>'Прил 7 Перечень мероприятий'!I92</f>
        <v>52</v>
      </c>
      <c r="G207" s="324"/>
    </row>
    <row r="208" spans="1:7" ht="15.75" customHeight="1" x14ac:dyDescent="0.2">
      <c r="A208" s="455"/>
      <c r="B208" s="321"/>
      <c r="C208" s="458"/>
      <c r="D208" s="459"/>
      <c r="E208" s="72" t="s">
        <v>98</v>
      </c>
      <c r="F208" s="55">
        <f>'Прил 7 Перечень мероприятий'!J92</f>
        <v>52</v>
      </c>
      <c r="G208" s="324"/>
    </row>
    <row r="209" spans="1:7" ht="15.75" customHeight="1" x14ac:dyDescent="0.2">
      <c r="A209" s="455"/>
      <c r="B209" s="321"/>
      <c r="C209" s="458"/>
      <c r="D209" s="459"/>
      <c r="E209" s="72" t="s">
        <v>99</v>
      </c>
      <c r="F209" s="55">
        <f>'Прил 7 Перечень мероприятий'!K92</f>
        <v>52</v>
      </c>
      <c r="G209" s="324"/>
    </row>
    <row r="210" spans="1:7" ht="15" customHeight="1" x14ac:dyDescent="0.2">
      <c r="A210" s="454" t="s">
        <v>257</v>
      </c>
      <c r="B210" s="321" t="s">
        <v>158</v>
      </c>
      <c r="C210" s="456" t="s">
        <v>342</v>
      </c>
      <c r="D210" s="457"/>
      <c r="E210" s="73" t="s">
        <v>53</v>
      </c>
      <c r="F210" s="182">
        <f>SUM(F211:F215)</f>
        <v>232.8</v>
      </c>
      <c r="G210" s="324"/>
    </row>
    <row r="211" spans="1:7" ht="15" customHeight="1" x14ac:dyDescent="0.2">
      <c r="A211" s="455"/>
      <c r="B211" s="321"/>
      <c r="C211" s="458"/>
      <c r="D211" s="459"/>
      <c r="E211" s="72" t="s">
        <v>4</v>
      </c>
      <c r="F211" s="55">
        <f>'Прил 7 Перечень мероприятий'!G94</f>
        <v>80</v>
      </c>
      <c r="G211" s="324"/>
    </row>
    <row r="212" spans="1:7" ht="15" customHeight="1" x14ac:dyDescent="0.2">
      <c r="A212" s="455"/>
      <c r="B212" s="321"/>
      <c r="C212" s="458"/>
      <c r="D212" s="459"/>
      <c r="E212" s="72" t="s">
        <v>52</v>
      </c>
      <c r="F212" s="55">
        <f>'Прил 7 Перечень мероприятий'!H94</f>
        <v>62.8</v>
      </c>
      <c r="G212" s="324"/>
    </row>
    <row r="213" spans="1:7" ht="15" customHeight="1" x14ac:dyDescent="0.2">
      <c r="A213" s="455"/>
      <c r="B213" s="321"/>
      <c r="C213" s="458"/>
      <c r="D213" s="459"/>
      <c r="E213" s="72" t="s">
        <v>97</v>
      </c>
      <c r="F213" s="55">
        <f>'Прил 7 Перечень мероприятий'!I94</f>
        <v>30</v>
      </c>
      <c r="G213" s="324"/>
    </row>
    <row r="214" spans="1:7" ht="15" customHeight="1" x14ac:dyDescent="0.2">
      <c r="A214" s="455"/>
      <c r="B214" s="321"/>
      <c r="C214" s="458"/>
      <c r="D214" s="459"/>
      <c r="E214" s="72" t="s">
        <v>98</v>
      </c>
      <c r="F214" s="55">
        <f>'Прил 7 Перечень мероприятий'!J94</f>
        <v>30</v>
      </c>
      <c r="G214" s="324"/>
    </row>
    <row r="215" spans="1:7" ht="15" customHeight="1" x14ac:dyDescent="0.2">
      <c r="A215" s="455"/>
      <c r="B215" s="321"/>
      <c r="C215" s="458"/>
      <c r="D215" s="459"/>
      <c r="E215" s="72" t="s">
        <v>99</v>
      </c>
      <c r="F215" s="55">
        <f>'Прил 7 Перечень мероприятий'!K94</f>
        <v>30</v>
      </c>
      <c r="G215" s="324"/>
    </row>
    <row r="216" spans="1:7" ht="24.75" customHeight="1" x14ac:dyDescent="0.2">
      <c r="A216" s="454" t="s">
        <v>248</v>
      </c>
      <c r="B216" s="321" t="s">
        <v>158</v>
      </c>
      <c r="C216" s="529" t="s">
        <v>459</v>
      </c>
      <c r="D216" s="530"/>
      <c r="E216" s="73" t="s">
        <v>53</v>
      </c>
      <c r="F216" s="182">
        <f>SUM(F217:F221)</f>
        <v>1530.6480000000001</v>
      </c>
      <c r="G216" s="324"/>
    </row>
    <row r="217" spans="1:7" ht="15.75" customHeight="1" x14ac:dyDescent="0.2">
      <c r="A217" s="455"/>
      <c r="B217" s="321"/>
      <c r="C217" s="531"/>
      <c r="D217" s="532"/>
      <c r="E217" s="72" t="s">
        <v>4</v>
      </c>
      <c r="F217" s="55">
        <f>'Прил 7 Перечень мероприятий'!G96</f>
        <v>1077.8679999999999</v>
      </c>
      <c r="G217" s="324"/>
    </row>
    <row r="218" spans="1:7" ht="15.75" customHeight="1" x14ac:dyDescent="0.2">
      <c r="A218" s="455"/>
      <c r="B218" s="321"/>
      <c r="C218" s="531"/>
      <c r="D218" s="532"/>
      <c r="E218" s="72" t="s">
        <v>52</v>
      </c>
      <c r="F218" s="55">
        <f>'Прил 7 Перечень мероприятий'!H96</f>
        <v>192.08</v>
      </c>
      <c r="G218" s="324"/>
    </row>
    <row r="219" spans="1:7" ht="15.75" customHeight="1" x14ac:dyDescent="0.2">
      <c r="A219" s="455"/>
      <c r="B219" s="321"/>
      <c r="C219" s="531"/>
      <c r="D219" s="532"/>
      <c r="E219" s="72" t="s">
        <v>97</v>
      </c>
      <c r="F219" s="55">
        <f>'Прил 7 Перечень мероприятий'!I96</f>
        <v>86.9</v>
      </c>
      <c r="G219" s="324"/>
    </row>
    <row r="220" spans="1:7" ht="15.75" customHeight="1" x14ac:dyDescent="0.2">
      <c r="A220" s="455"/>
      <c r="B220" s="321"/>
      <c r="C220" s="531"/>
      <c r="D220" s="532"/>
      <c r="E220" s="72" t="s">
        <v>98</v>
      </c>
      <c r="F220" s="55">
        <f>'Прил 7 Перечень мероприятий'!J96</f>
        <v>86.9</v>
      </c>
      <c r="G220" s="324"/>
    </row>
    <row r="221" spans="1:7" ht="30" customHeight="1" x14ac:dyDescent="0.2">
      <c r="A221" s="455"/>
      <c r="B221" s="321"/>
      <c r="C221" s="531"/>
      <c r="D221" s="532"/>
      <c r="E221" s="72" t="s">
        <v>99</v>
      </c>
      <c r="F221" s="55">
        <f>'Прил 7 Перечень мероприятий'!K96</f>
        <v>86.9</v>
      </c>
      <c r="G221" s="324"/>
    </row>
    <row r="222" spans="1:7" x14ac:dyDescent="0.2">
      <c r="A222" s="460" t="s">
        <v>249</v>
      </c>
      <c r="B222" s="321" t="s">
        <v>158</v>
      </c>
      <c r="C222" s="456" t="s">
        <v>221</v>
      </c>
      <c r="D222" s="457"/>
      <c r="E222" s="73" t="s">
        <v>53</v>
      </c>
      <c r="F222" s="182">
        <f>SUM(F223:F227)</f>
        <v>2074.8636799999999</v>
      </c>
      <c r="G222" s="324"/>
    </row>
    <row r="223" spans="1:7" x14ac:dyDescent="0.2">
      <c r="A223" s="455"/>
      <c r="B223" s="321"/>
      <c r="C223" s="458"/>
      <c r="D223" s="459"/>
      <c r="E223" s="72" t="s">
        <v>4</v>
      </c>
      <c r="F223" s="55">
        <f>'Прил 7 Перечень мероприятий'!G98</f>
        <v>284.01367999999997</v>
      </c>
      <c r="G223" s="324"/>
    </row>
    <row r="224" spans="1:7" x14ac:dyDescent="0.2">
      <c r="A224" s="455"/>
      <c r="B224" s="321"/>
      <c r="C224" s="458"/>
      <c r="D224" s="459"/>
      <c r="E224" s="72" t="s">
        <v>52</v>
      </c>
      <c r="F224" s="55">
        <f>'Прил 7 Перечень мероприятий'!H98</f>
        <v>890.85</v>
      </c>
      <c r="G224" s="324"/>
    </row>
    <row r="225" spans="1:7" x14ac:dyDescent="0.2">
      <c r="A225" s="455"/>
      <c r="B225" s="321"/>
      <c r="C225" s="458"/>
      <c r="D225" s="459"/>
      <c r="E225" s="72" t="s">
        <v>97</v>
      </c>
      <c r="F225" s="55">
        <f>'Прил 7 Перечень мероприятий'!I98</f>
        <v>300</v>
      </c>
      <c r="G225" s="324"/>
    </row>
    <row r="226" spans="1:7" x14ac:dyDescent="0.2">
      <c r="A226" s="455"/>
      <c r="B226" s="321"/>
      <c r="C226" s="458"/>
      <c r="D226" s="459"/>
      <c r="E226" s="72" t="s">
        <v>98</v>
      </c>
      <c r="F226" s="55">
        <f>'Прил 7 Перечень мероприятий'!J98</f>
        <v>300</v>
      </c>
      <c r="G226" s="324"/>
    </row>
    <row r="227" spans="1:7" x14ac:dyDescent="0.2">
      <c r="A227" s="455"/>
      <c r="B227" s="321"/>
      <c r="C227" s="458"/>
      <c r="D227" s="459"/>
      <c r="E227" s="72" t="s">
        <v>99</v>
      </c>
      <c r="F227" s="55">
        <f>'Прил 7 Перечень мероприятий'!K98</f>
        <v>300</v>
      </c>
      <c r="G227" s="324"/>
    </row>
    <row r="228" spans="1:7" x14ac:dyDescent="0.2">
      <c r="A228" s="454" t="s">
        <v>170</v>
      </c>
      <c r="B228" s="321" t="s">
        <v>158</v>
      </c>
      <c r="C228" s="462" t="s">
        <v>324</v>
      </c>
      <c r="D228" s="463"/>
      <c r="E228" s="73" t="s">
        <v>53</v>
      </c>
      <c r="F228" s="182">
        <f>SUM(F229:F233)</f>
        <v>3603.3132799999998</v>
      </c>
      <c r="G228" s="324"/>
    </row>
    <row r="229" spans="1:7" x14ac:dyDescent="0.2">
      <c r="A229" s="455"/>
      <c r="B229" s="321"/>
      <c r="C229" s="464"/>
      <c r="D229" s="465"/>
      <c r="E229" s="72" t="s">
        <v>4</v>
      </c>
      <c r="F229" s="55">
        <f>'Прил 7 Перечень мероприятий'!G100</f>
        <v>180.6</v>
      </c>
      <c r="G229" s="324"/>
    </row>
    <row r="230" spans="1:7" x14ac:dyDescent="0.2">
      <c r="A230" s="455"/>
      <c r="B230" s="321"/>
      <c r="C230" s="464"/>
      <c r="D230" s="465"/>
      <c r="E230" s="72" t="s">
        <v>52</v>
      </c>
      <c r="F230" s="55">
        <f>'Прил 7 Перечень мероприятий'!H100</f>
        <v>2522.7132799999999</v>
      </c>
      <c r="G230" s="324"/>
    </row>
    <row r="231" spans="1:7" x14ac:dyDescent="0.2">
      <c r="A231" s="455"/>
      <c r="B231" s="321"/>
      <c r="C231" s="464"/>
      <c r="D231" s="465"/>
      <c r="E231" s="72" t="s">
        <v>97</v>
      </c>
      <c r="F231" s="55">
        <f>'Прил 7 Перечень мероприятий'!I100</f>
        <v>300</v>
      </c>
      <c r="G231" s="324"/>
    </row>
    <row r="232" spans="1:7" x14ac:dyDescent="0.2">
      <c r="A232" s="455"/>
      <c r="B232" s="321"/>
      <c r="C232" s="464"/>
      <c r="D232" s="465"/>
      <c r="E232" s="72" t="s">
        <v>98</v>
      </c>
      <c r="F232" s="55">
        <f>'Прил 7 Перечень мероприятий'!J100</f>
        <v>300</v>
      </c>
      <c r="G232" s="324"/>
    </row>
    <row r="233" spans="1:7" x14ac:dyDescent="0.2">
      <c r="A233" s="455"/>
      <c r="B233" s="346"/>
      <c r="C233" s="464"/>
      <c r="D233" s="465"/>
      <c r="E233" s="84" t="s">
        <v>99</v>
      </c>
      <c r="F233" s="183">
        <f>'Прил 7 Перечень мероприятий'!K100</f>
        <v>300</v>
      </c>
      <c r="G233" s="324"/>
    </row>
    <row r="234" spans="1:7" x14ac:dyDescent="0.2">
      <c r="A234" s="495" t="s">
        <v>250</v>
      </c>
      <c r="B234" s="370" t="s">
        <v>158</v>
      </c>
      <c r="C234" s="85"/>
      <c r="D234" s="521" t="s">
        <v>396</v>
      </c>
      <c r="E234" s="74" t="s">
        <v>53</v>
      </c>
      <c r="F234" s="180">
        <f>SUM(F235:F239)</f>
        <v>921.32449999999994</v>
      </c>
      <c r="G234" s="370"/>
    </row>
    <row r="235" spans="1:7" x14ac:dyDescent="0.2">
      <c r="A235" s="519"/>
      <c r="B235" s="420"/>
      <c r="C235" s="85"/>
      <c r="D235" s="522"/>
      <c r="E235" s="61" t="s">
        <v>4</v>
      </c>
      <c r="F235" s="184">
        <f>'Прил 7 Перечень мероприятий'!G102</f>
        <v>180</v>
      </c>
      <c r="G235" s="420"/>
    </row>
    <row r="236" spans="1:7" x14ac:dyDescent="0.2">
      <c r="A236" s="519"/>
      <c r="B236" s="420"/>
      <c r="C236" s="85"/>
      <c r="D236" s="522"/>
      <c r="E236" s="61" t="s">
        <v>52</v>
      </c>
      <c r="F236" s="184">
        <f>'Прил 7 Перечень мероприятий'!H102</f>
        <v>141.3245</v>
      </c>
      <c r="G236" s="420"/>
    </row>
    <row r="237" spans="1:7" x14ac:dyDescent="0.2">
      <c r="A237" s="519"/>
      <c r="B237" s="420"/>
      <c r="C237" s="85"/>
      <c r="D237" s="522"/>
      <c r="E237" s="61" t="s">
        <v>97</v>
      </c>
      <c r="F237" s="184">
        <f>'Прил 7 Перечень мероприятий'!I102</f>
        <v>200</v>
      </c>
      <c r="G237" s="420"/>
    </row>
    <row r="238" spans="1:7" x14ac:dyDescent="0.2">
      <c r="A238" s="519"/>
      <c r="B238" s="420"/>
      <c r="C238" s="85"/>
      <c r="D238" s="522"/>
      <c r="E238" s="61" t="s">
        <v>98</v>
      </c>
      <c r="F238" s="184">
        <f>'Прил 7 Перечень мероприятий'!J102</f>
        <v>200</v>
      </c>
      <c r="G238" s="420"/>
    </row>
    <row r="239" spans="1:7" x14ac:dyDescent="0.2">
      <c r="A239" s="520"/>
      <c r="B239" s="371"/>
      <c r="C239" s="85"/>
      <c r="D239" s="523"/>
      <c r="E239" s="86" t="s">
        <v>99</v>
      </c>
      <c r="F239" s="184">
        <f>'Прил 7 Перечень мероприятий'!K102</f>
        <v>200</v>
      </c>
      <c r="G239" s="371"/>
    </row>
    <row r="240" spans="1:7" ht="15" customHeight="1" x14ac:dyDescent="0.2">
      <c r="A240" s="495" t="s">
        <v>189</v>
      </c>
      <c r="B240" s="370" t="s">
        <v>158</v>
      </c>
      <c r="C240" s="85"/>
      <c r="D240" s="521" t="s">
        <v>194</v>
      </c>
      <c r="E240" s="74" t="s">
        <v>53</v>
      </c>
      <c r="F240" s="180">
        <f>SUM(F241:F245)</f>
        <v>291.44900000000001</v>
      </c>
      <c r="G240" s="370"/>
    </row>
    <row r="241" spans="1:7" ht="15" customHeight="1" x14ac:dyDescent="0.2">
      <c r="A241" s="519"/>
      <c r="B241" s="420"/>
      <c r="C241" s="85"/>
      <c r="D241" s="522"/>
      <c r="E241" s="61" t="s">
        <v>4</v>
      </c>
      <c r="F241" s="184">
        <f>'Прил 7 Перечень мероприятий'!G104</f>
        <v>291.44900000000001</v>
      </c>
      <c r="G241" s="420"/>
    </row>
    <row r="242" spans="1:7" ht="15" customHeight="1" x14ac:dyDescent="0.2">
      <c r="A242" s="519"/>
      <c r="B242" s="420"/>
      <c r="C242" s="85"/>
      <c r="D242" s="522"/>
      <c r="E242" s="61" t="s">
        <v>52</v>
      </c>
      <c r="F242" s="184">
        <f>'Прил 7 Перечень мероприятий'!H104</f>
        <v>0</v>
      </c>
      <c r="G242" s="420"/>
    </row>
    <row r="243" spans="1:7" ht="15" customHeight="1" x14ac:dyDescent="0.2">
      <c r="A243" s="519"/>
      <c r="B243" s="420"/>
      <c r="C243" s="85"/>
      <c r="D243" s="522"/>
      <c r="E243" s="61" t="s">
        <v>97</v>
      </c>
      <c r="F243" s="184">
        <f>'Прил 7 Перечень мероприятий'!I104</f>
        <v>0</v>
      </c>
      <c r="G243" s="420"/>
    </row>
    <row r="244" spans="1:7" ht="15" customHeight="1" x14ac:dyDescent="0.2">
      <c r="A244" s="519"/>
      <c r="B244" s="420"/>
      <c r="C244" s="85"/>
      <c r="D244" s="522"/>
      <c r="E244" s="61" t="s">
        <v>98</v>
      </c>
      <c r="F244" s="184">
        <f>'Прил 7 Перечень мероприятий'!J104</f>
        <v>0</v>
      </c>
      <c r="G244" s="420"/>
    </row>
    <row r="245" spans="1:7" ht="15" customHeight="1" x14ac:dyDescent="0.2">
      <c r="A245" s="520"/>
      <c r="B245" s="371"/>
      <c r="C245" s="85"/>
      <c r="D245" s="523"/>
      <c r="E245" s="86" t="s">
        <v>99</v>
      </c>
      <c r="F245" s="184">
        <f>'Прил 7 Перечень мероприятий'!K104</f>
        <v>0</v>
      </c>
      <c r="G245" s="371"/>
    </row>
    <row r="246" spans="1:7" ht="13.5" customHeight="1" x14ac:dyDescent="0.2">
      <c r="A246" s="495" t="s">
        <v>192</v>
      </c>
      <c r="B246" s="370" t="s">
        <v>158</v>
      </c>
      <c r="C246" s="85"/>
      <c r="D246" s="521" t="s">
        <v>196</v>
      </c>
      <c r="E246" s="74" t="s">
        <v>53</v>
      </c>
      <c r="F246" s="180">
        <f>SUM(F247:F251)</f>
        <v>88.031999999999996</v>
      </c>
      <c r="G246" s="370"/>
    </row>
    <row r="247" spans="1:7" ht="13.5" customHeight="1" x14ac:dyDescent="0.2">
      <c r="A247" s="519"/>
      <c r="B247" s="420"/>
      <c r="C247" s="85"/>
      <c r="D247" s="522"/>
      <c r="E247" s="61" t="s">
        <v>4</v>
      </c>
      <c r="F247" s="184">
        <f>'Прил 7 Перечень мероприятий'!G106</f>
        <v>10.032</v>
      </c>
      <c r="G247" s="420"/>
    </row>
    <row r="248" spans="1:7" ht="13.5" customHeight="1" x14ac:dyDescent="0.2">
      <c r="A248" s="519"/>
      <c r="B248" s="420"/>
      <c r="C248" s="85"/>
      <c r="D248" s="522"/>
      <c r="E248" s="61" t="s">
        <v>52</v>
      </c>
      <c r="F248" s="184">
        <f>'Прил 7 Перечень мероприятий'!H106</f>
        <v>78</v>
      </c>
      <c r="G248" s="420"/>
    </row>
    <row r="249" spans="1:7" ht="13.5" customHeight="1" x14ac:dyDescent="0.2">
      <c r="A249" s="519"/>
      <c r="B249" s="420"/>
      <c r="C249" s="85"/>
      <c r="D249" s="522"/>
      <c r="E249" s="61" t="s">
        <v>97</v>
      </c>
      <c r="F249" s="184">
        <f>'Прил 7 Перечень мероприятий'!I106</f>
        <v>0</v>
      </c>
      <c r="G249" s="420"/>
    </row>
    <row r="250" spans="1:7" ht="13.5" customHeight="1" x14ac:dyDescent="0.2">
      <c r="A250" s="519"/>
      <c r="B250" s="420"/>
      <c r="C250" s="85"/>
      <c r="D250" s="522"/>
      <c r="E250" s="61" t="s">
        <v>98</v>
      </c>
      <c r="F250" s="184">
        <f>'Прил 7 Перечень мероприятий'!J106</f>
        <v>0</v>
      </c>
      <c r="G250" s="420"/>
    </row>
    <row r="251" spans="1:7" ht="13.5" customHeight="1" x14ac:dyDescent="0.2">
      <c r="A251" s="520"/>
      <c r="B251" s="371"/>
      <c r="C251" s="85"/>
      <c r="D251" s="523"/>
      <c r="E251" s="86" t="s">
        <v>99</v>
      </c>
      <c r="F251" s="184">
        <f>'Прил 7 Перечень мероприятий'!K106</f>
        <v>0</v>
      </c>
      <c r="G251" s="371"/>
    </row>
    <row r="252" spans="1:7" ht="11.25" customHeight="1" x14ac:dyDescent="0.2">
      <c r="A252" s="495" t="s">
        <v>193</v>
      </c>
      <c r="B252" s="370" t="s">
        <v>158</v>
      </c>
      <c r="C252" s="95"/>
      <c r="D252" s="521" t="s">
        <v>195</v>
      </c>
      <c r="E252" s="99" t="s">
        <v>53</v>
      </c>
      <c r="F252" s="180">
        <f>SUM(F253:F257)</f>
        <v>90</v>
      </c>
      <c r="G252" s="370"/>
    </row>
    <row r="253" spans="1:7" ht="11.25" customHeight="1" x14ac:dyDescent="0.2">
      <c r="A253" s="519"/>
      <c r="B253" s="420"/>
      <c r="C253" s="95"/>
      <c r="D253" s="522"/>
      <c r="E253" s="96" t="s">
        <v>4</v>
      </c>
      <c r="F253" s="184">
        <f>'Прил 7 Перечень мероприятий'!G108</f>
        <v>90</v>
      </c>
      <c r="G253" s="420"/>
    </row>
    <row r="254" spans="1:7" ht="11.25" customHeight="1" x14ac:dyDescent="0.2">
      <c r="A254" s="519"/>
      <c r="B254" s="420"/>
      <c r="C254" s="95"/>
      <c r="D254" s="522"/>
      <c r="E254" s="96" t="s">
        <v>52</v>
      </c>
      <c r="F254" s="184">
        <f>'Прил 7 Перечень мероприятий'!H108</f>
        <v>0</v>
      </c>
      <c r="G254" s="420"/>
    </row>
    <row r="255" spans="1:7" ht="11.25" customHeight="1" x14ac:dyDescent="0.2">
      <c r="A255" s="519"/>
      <c r="B255" s="420"/>
      <c r="C255" s="95"/>
      <c r="D255" s="522"/>
      <c r="E255" s="96" t="s">
        <v>97</v>
      </c>
      <c r="F255" s="184">
        <f>'Прил 7 Перечень мероприятий'!I108</f>
        <v>0</v>
      </c>
      <c r="G255" s="420"/>
    </row>
    <row r="256" spans="1:7" ht="11.25" customHeight="1" x14ac:dyDescent="0.2">
      <c r="A256" s="519"/>
      <c r="B256" s="420"/>
      <c r="C256" s="95"/>
      <c r="D256" s="522"/>
      <c r="E256" s="96" t="s">
        <v>98</v>
      </c>
      <c r="F256" s="184">
        <f>'Прил 7 Перечень мероприятий'!J108</f>
        <v>0</v>
      </c>
      <c r="G256" s="420"/>
    </row>
    <row r="257" spans="1:7" ht="11.25" customHeight="1" x14ac:dyDescent="0.2">
      <c r="A257" s="520"/>
      <c r="B257" s="371"/>
      <c r="C257" s="95"/>
      <c r="D257" s="523"/>
      <c r="E257" s="97" t="s">
        <v>99</v>
      </c>
      <c r="F257" s="184">
        <f>'Прил 7 Перечень мероприятий'!K108</f>
        <v>0</v>
      </c>
      <c r="G257" s="371"/>
    </row>
    <row r="258" spans="1:7" ht="10.5" customHeight="1" x14ac:dyDescent="0.2">
      <c r="A258" s="500" t="s">
        <v>262</v>
      </c>
      <c r="B258" s="443" t="s">
        <v>158</v>
      </c>
      <c r="C258" s="104"/>
      <c r="D258" s="449" t="s">
        <v>275</v>
      </c>
      <c r="E258" s="145" t="s">
        <v>53</v>
      </c>
      <c r="F258" s="185">
        <f>SUM(F259:F263)</f>
        <v>2499.5902700000001</v>
      </c>
      <c r="G258" s="370"/>
    </row>
    <row r="259" spans="1:7" ht="10.5" customHeight="1" x14ac:dyDescent="0.2">
      <c r="A259" s="526"/>
      <c r="B259" s="528"/>
      <c r="C259" s="104"/>
      <c r="D259" s="450"/>
      <c r="E259" s="143" t="s">
        <v>4</v>
      </c>
      <c r="F259" s="186">
        <f>'Прил 7 Перечень мероприятий'!G110</f>
        <v>2499.5902700000001</v>
      </c>
      <c r="G259" s="420"/>
    </row>
    <row r="260" spans="1:7" ht="10.5" customHeight="1" x14ac:dyDescent="0.2">
      <c r="A260" s="526"/>
      <c r="B260" s="528"/>
      <c r="C260" s="104"/>
      <c r="D260" s="450"/>
      <c r="E260" s="143" t="s">
        <v>52</v>
      </c>
      <c r="F260" s="186">
        <f>'Прил 7 Перечень мероприятий'!H110</f>
        <v>0</v>
      </c>
      <c r="G260" s="420"/>
    </row>
    <row r="261" spans="1:7" ht="10.5" customHeight="1" x14ac:dyDescent="0.2">
      <c r="A261" s="526"/>
      <c r="B261" s="528"/>
      <c r="C261" s="104"/>
      <c r="D261" s="450"/>
      <c r="E261" s="143" t="s">
        <v>97</v>
      </c>
      <c r="F261" s="186">
        <f>'Прил 7 Перечень мероприятий'!I106</f>
        <v>0</v>
      </c>
      <c r="G261" s="420"/>
    </row>
    <row r="262" spans="1:7" ht="10.5" customHeight="1" x14ac:dyDescent="0.2">
      <c r="A262" s="526"/>
      <c r="B262" s="528"/>
      <c r="C262" s="104"/>
      <c r="D262" s="450"/>
      <c r="E262" s="143" t="s">
        <v>98</v>
      </c>
      <c r="F262" s="186">
        <f>'Прил 7 Перечень мероприятий'!J106</f>
        <v>0</v>
      </c>
      <c r="G262" s="420"/>
    </row>
    <row r="263" spans="1:7" ht="10.5" customHeight="1" x14ac:dyDescent="0.2">
      <c r="A263" s="527"/>
      <c r="B263" s="444"/>
      <c r="C263" s="104"/>
      <c r="D263" s="451"/>
      <c r="E263" s="142" t="s">
        <v>99</v>
      </c>
      <c r="F263" s="186">
        <f>'Прил 7 Перечень мероприятий'!K106</f>
        <v>0</v>
      </c>
      <c r="G263" s="371"/>
    </row>
    <row r="264" spans="1:7" ht="11.25" customHeight="1" x14ac:dyDescent="0.2">
      <c r="A264" s="500" t="s">
        <v>360</v>
      </c>
      <c r="B264" s="443" t="s">
        <v>158</v>
      </c>
      <c r="C264" s="104"/>
      <c r="D264" s="449" t="s">
        <v>426</v>
      </c>
      <c r="E264" s="161" t="s">
        <v>53</v>
      </c>
      <c r="F264" s="185">
        <f>SUM(F265:F269)</f>
        <v>29.882999999999999</v>
      </c>
      <c r="G264" s="370"/>
    </row>
    <row r="265" spans="1:7" ht="12" customHeight="1" x14ac:dyDescent="0.2">
      <c r="A265" s="526"/>
      <c r="B265" s="528"/>
      <c r="C265" s="104"/>
      <c r="D265" s="450"/>
      <c r="E265" s="158" t="s">
        <v>4</v>
      </c>
      <c r="F265" s="186">
        <f>'Прил 7 Перечень мероприятий'!H112</f>
        <v>29.882999999999999</v>
      </c>
      <c r="G265" s="420"/>
    </row>
    <row r="266" spans="1:7" ht="12" customHeight="1" x14ac:dyDescent="0.2">
      <c r="A266" s="526"/>
      <c r="B266" s="528"/>
      <c r="C266" s="104"/>
      <c r="D266" s="450"/>
      <c r="E266" s="158" t="s">
        <v>52</v>
      </c>
      <c r="F266" s="186">
        <f>'Прил 7 Перечень мероприятий'!H108</f>
        <v>0</v>
      </c>
      <c r="G266" s="420"/>
    </row>
    <row r="267" spans="1:7" ht="12" customHeight="1" x14ac:dyDescent="0.2">
      <c r="A267" s="526"/>
      <c r="B267" s="528"/>
      <c r="C267" s="104"/>
      <c r="D267" s="450"/>
      <c r="E267" s="158" t="s">
        <v>97</v>
      </c>
      <c r="F267" s="186">
        <f>'Прил 7 Перечень мероприятий'!I108</f>
        <v>0</v>
      </c>
      <c r="G267" s="420"/>
    </row>
    <row r="268" spans="1:7" ht="12" customHeight="1" x14ac:dyDescent="0.2">
      <c r="A268" s="526"/>
      <c r="B268" s="528"/>
      <c r="C268" s="104"/>
      <c r="D268" s="450"/>
      <c r="E268" s="158" t="s">
        <v>98</v>
      </c>
      <c r="F268" s="186">
        <f>'Прил 7 Перечень мероприятий'!J108</f>
        <v>0</v>
      </c>
      <c r="G268" s="420"/>
    </row>
    <row r="269" spans="1:7" ht="12" customHeight="1" x14ac:dyDescent="0.2">
      <c r="A269" s="527"/>
      <c r="B269" s="444"/>
      <c r="C269" s="104"/>
      <c r="D269" s="451"/>
      <c r="E269" s="156" t="s">
        <v>99</v>
      </c>
      <c r="F269" s="186">
        <f>'Прил 7 Перечень мероприятий'!K108</f>
        <v>0</v>
      </c>
      <c r="G269" s="371"/>
    </row>
    <row r="270" spans="1:7" ht="11.25" customHeight="1" x14ac:dyDescent="0.2">
      <c r="A270" s="500" t="s">
        <v>363</v>
      </c>
      <c r="B270" s="443" t="s">
        <v>158</v>
      </c>
      <c r="C270" s="104"/>
      <c r="D270" s="449" t="s">
        <v>362</v>
      </c>
      <c r="E270" s="273" t="s">
        <v>53</v>
      </c>
      <c r="F270" s="185">
        <f>SUM(F271:F275)</f>
        <v>2499.5902700000001</v>
      </c>
      <c r="G270" s="370"/>
    </row>
    <row r="271" spans="1:7" ht="12" customHeight="1" x14ac:dyDescent="0.2">
      <c r="A271" s="526"/>
      <c r="B271" s="528"/>
      <c r="C271" s="104"/>
      <c r="D271" s="450"/>
      <c r="E271" s="277" t="s">
        <v>4</v>
      </c>
      <c r="F271" s="186">
        <f>'Прил 7 Перечень мероприятий'!G110</f>
        <v>2499.5902700000001</v>
      </c>
      <c r="G271" s="420"/>
    </row>
    <row r="272" spans="1:7" ht="12" customHeight="1" x14ac:dyDescent="0.2">
      <c r="A272" s="526"/>
      <c r="B272" s="528"/>
      <c r="C272" s="104"/>
      <c r="D272" s="450"/>
      <c r="E272" s="277" t="s">
        <v>52</v>
      </c>
      <c r="F272" s="186">
        <f>'Прил 7 Перечень мероприятий'!H110</f>
        <v>0</v>
      </c>
      <c r="G272" s="420"/>
    </row>
    <row r="273" spans="1:9" ht="12" customHeight="1" x14ac:dyDescent="0.2">
      <c r="A273" s="526"/>
      <c r="B273" s="528"/>
      <c r="C273" s="104"/>
      <c r="D273" s="450"/>
      <c r="E273" s="277" t="s">
        <v>97</v>
      </c>
      <c r="F273" s="186">
        <f>'Прил 7 Перечень мероприятий'!I110</f>
        <v>0</v>
      </c>
      <c r="G273" s="420"/>
    </row>
    <row r="274" spans="1:9" ht="12" customHeight="1" x14ac:dyDescent="0.2">
      <c r="A274" s="526"/>
      <c r="B274" s="528"/>
      <c r="C274" s="104"/>
      <c r="D274" s="450"/>
      <c r="E274" s="277" t="s">
        <v>98</v>
      </c>
      <c r="F274" s="186">
        <f>'Прил 7 Перечень мероприятий'!J110</f>
        <v>0</v>
      </c>
      <c r="G274" s="420"/>
    </row>
    <row r="275" spans="1:9" ht="12" customHeight="1" x14ac:dyDescent="0.2">
      <c r="A275" s="527"/>
      <c r="B275" s="444"/>
      <c r="C275" s="104"/>
      <c r="D275" s="451"/>
      <c r="E275" s="272" t="s">
        <v>99</v>
      </c>
      <c r="F275" s="186">
        <f>'Прил 7 Перечень мероприятий'!K110</f>
        <v>0</v>
      </c>
      <c r="G275" s="371"/>
    </row>
    <row r="276" spans="1:9" ht="11.25" customHeight="1" x14ac:dyDescent="0.2">
      <c r="A276" s="500" t="s">
        <v>455</v>
      </c>
      <c r="B276" s="443" t="s">
        <v>158</v>
      </c>
      <c r="C276" s="104"/>
      <c r="D276" s="449" t="s">
        <v>453</v>
      </c>
      <c r="E276" s="74" t="s">
        <v>53</v>
      </c>
      <c r="F276" s="185">
        <f>SUM(F277:F281)</f>
        <v>16.399999999999999</v>
      </c>
      <c r="G276" s="370"/>
    </row>
    <row r="277" spans="1:9" ht="12" customHeight="1" x14ac:dyDescent="0.2">
      <c r="A277" s="526"/>
      <c r="B277" s="528"/>
      <c r="C277" s="104"/>
      <c r="D277" s="450"/>
      <c r="E277" s="61" t="s">
        <v>4</v>
      </c>
      <c r="F277" s="186">
        <f>'Прил 7 Перечень мероприятий'!G116</f>
        <v>0</v>
      </c>
      <c r="G277" s="420"/>
    </row>
    <row r="278" spans="1:9" ht="12" customHeight="1" x14ac:dyDescent="0.2">
      <c r="A278" s="526"/>
      <c r="B278" s="528"/>
      <c r="C278" s="104"/>
      <c r="D278" s="450"/>
      <c r="E278" s="61" t="s">
        <v>52</v>
      </c>
      <c r="F278" s="186">
        <f>'Прил 7 Перечень мероприятий'!H116</f>
        <v>16.399999999999999</v>
      </c>
      <c r="G278" s="420"/>
    </row>
    <row r="279" spans="1:9" ht="12" customHeight="1" x14ac:dyDescent="0.2">
      <c r="A279" s="526"/>
      <c r="B279" s="528"/>
      <c r="C279" s="104"/>
      <c r="D279" s="450"/>
      <c r="E279" s="61" t="s">
        <v>97</v>
      </c>
      <c r="F279" s="186">
        <f>'Прил 7 Перечень мероприятий'!I116</f>
        <v>0</v>
      </c>
      <c r="G279" s="420"/>
    </row>
    <row r="280" spans="1:9" ht="12" customHeight="1" x14ac:dyDescent="0.2">
      <c r="A280" s="526"/>
      <c r="B280" s="528"/>
      <c r="C280" s="104"/>
      <c r="D280" s="450"/>
      <c r="E280" s="61" t="s">
        <v>98</v>
      </c>
      <c r="F280" s="186">
        <f>'Прил 7 Перечень мероприятий'!J116</f>
        <v>0</v>
      </c>
      <c r="G280" s="420"/>
    </row>
    <row r="281" spans="1:9" ht="12" customHeight="1" x14ac:dyDescent="0.2">
      <c r="A281" s="527"/>
      <c r="B281" s="444"/>
      <c r="C281" s="104"/>
      <c r="D281" s="451"/>
      <c r="E281" s="86" t="s">
        <v>99</v>
      </c>
      <c r="F281" s="186">
        <f>'Прил 7 Перечень мероприятий'!K116</f>
        <v>0</v>
      </c>
      <c r="G281" s="371"/>
    </row>
    <row r="282" spans="1:9" ht="21.75" customHeight="1" x14ac:dyDescent="0.2">
      <c r="A282" s="512" t="s">
        <v>100</v>
      </c>
      <c r="B282" s="513"/>
      <c r="C282" s="513"/>
      <c r="D282" s="513"/>
      <c r="E282" s="513"/>
      <c r="F282" s="513"/>
      <c r="G282" s="514"/>
      <c r="I282" s="178">
        <f>F286+F292+F298+F304+F310+F316+F322+F328+F334+F340</f>
        <v>37493.532029999995</v>
      </c>
    </row>
    <row r="283" spans="1:9" ht="26.25" customHeight="1" x14ac:dyDescent="0.2">
      <c r="A283" s="505" t="s">
        <v>151</v>
      </c>
      <c r="B283" s="506"/>
      <c r="C283" s="509"/>
      <c r="D283" s="509"/>
      <c r="E283" s="479"/>
      <c r="F283" s="510"/>
      <c r="G283" s="324"/>
    </row>
    <row r="284" spans="1:9" ht="26.25" customHeight="1" x14ac:dyDescent="0.2">
      <c r="A284" s="507"/>
      <c r="B284" s="508"/>
      <c r="C284" s="509"/>
      <c r="D284" s="509"/>
      <c r="E284" s="480"/>
      <c r="F284" s="511"/>
      <c r="G284" s="324"/>
    </row>
    <row r="285" spans="1:9" ht="16.5" customHeight="1" x14ac:dyDescent="0.2">
      <c r="A285" s="507"/>
      <c r="B285" s="508"/>
      <c r="C285" s="509"/>
      <c r="D285" s="509"/>
      <c r="E285" s="480"/>
      <c r="F285" s="511"/>
      <c r="G285" s="324"/>
    </row>
    <row r="286" spans="1:9" x14ac:dyDescent="0.2">
      <c r="A286" s="460" t="s">
        <v>225</v>
      </c>
      <c r="B286" s="321" t="s">
        <v>158</v>
      </c>
      <c r="C286" s="456" t="s">
        <v>458</v>
      </c>
      <c r="D286" s="457"/>
      <c r="E286" s="78" t="s">
        <v>53</v>
      </c>
      <c r="F286" s="182">
        <f>SUM(F287:F291)</f>
        <v>31983.737589999997</v>
      </c>
      <c r="G286" s="324"/>
    </row>
    <row r="287" spans="1:9" x14ac:dyDescent="0.2">
      <c r="A287" s="455"/>
      <c r="B287" s="321"/>
      <c r="C287" s="458"/>
      <c r="D287" s="459"/>
      <c r="E287" s="77" t="s">
        <v>4</v>
      </c>
      <c r="F287" s="55">
        <f>'Прил 7 Перечень мероприятий'!G125</f>
        <v>6220.1</v>
      </c>
      <c r="G287" s="324"/>
    </row>
    <row r="288" spans="1:9" x14ac:dyDescent="0.2">
      <c r="A288" s="455"/>
      <c r="B288" s="321"/>
      <c r="C288" s="458"/>
      <c r="D288" s="459"/>
      <c r="E288" s="77" t="s">
        <v>52</v>
      </c>
      <c r="F288" s="55">
        <f>'Прил 7 Перечень мероприятий'!H125</f>
        <v>6229.7375899999997</v>
      </c>
      <c r="G288" s="324"/>
    </row>
    <row r="289" spans="1:7" x14ac:dyDescent="0.2">
      <c r="A289" s="455"/>
      <c r="B289" s="321"/>
      <c r="C289" s="458"/>
      <c r="D289" s="459"/>
      <c r="E289" s="77" t="s">
        <v>97</v>
      </c>
      <c r="F289" s="55">
        <f>'Прил 7 Перечень мероприятий'!I125</f>
        <v>6511.3</v>
      </c>
      <c r="G289" s="324"/>
    </row>
    <row r="290" spans="1:7" x14ac:dyDescent="0.2">
      <c r="A290" s="455"/>
      <c r="B290" s="321"/>
      <c r="C290" s="458"/>
      <c r="D290" s="459"/>
      <c r="E290" s="77" t="s">
        <v>98</v>
      </c>
      <c r="F290" s="55">
        <f>'Прил 7 Перечень мероприятий'!J125</f>
        <v>6511.3</v>
      </c>
      <c r="G290" s="324"/>
    </row>
    <row r="291" spans="1:7" x14ac:dyDescent="0.2">
      <c r="A291" s="455"/>
      <c r="B291" s="321"/>
      <c r="C291" s="458"/>
      <c r="D291" s="459"/>
      <c r="E291" s="77" t="s">
        <v>99</v>
      </c>
      <c r="F291" s="55">
        <f>'Прил 7 Перечень мероприятий'!K125</f>
        <v>6511.3</v>
      </c>
      <c r="G291" s="324"/>
    </row>
    <row r="292" spans="1:7" x14ac:dyDescent="0.2">
      <c r="A292" s="454" t="s">
        <v>243</v>
      </c>
      <c r="B292" s="321" t="s">
        <v>158</v>
      </c>
      <c r="C292" s="456" t="s">
        <v>182</v>
      </c>
      <c r="D292" s="457"/>
      <c r="E292" s="78" t="s">
        <v>53</v>
      </c>
      <c r="F292" s="182">
        <f>SUM(F293:F297)</f>
        <v>1439.65788</v>
      </c>
      <c r="G292" s="324"/>
    </row>
    <row r="293" spans="1:7" x14ac:dyDescent="0.2">
      <c r="A293" s="455"/>
      <c r="B293" s="321"/>
      <c r="C293" s="458"/>
      <c r="D293" s="459"/>
      <c r="E293" s="77" t="s">
        <v>4</v>
      </c>
      <c r="F293" s="55">
        <f>'Прил 7 Перечень мероприятий'!G127</f>
        <v>280</v>
      </c>
      <c r="G293" s="324"/>
    </row>
    <row r="294" spans="1:7" x14ac:dyDescent="0.2">
      <c r="A294" s="455"/>
      <c r="B294" s="321"/>
      <c r="C294" s="458"/>
      <c r="D294" s="459"/>
      <c r="E294" s="77" t="s">
        <v>52</v>
      </c>
      <c r="F294" s="55">
        <f>'Прил 7 Перечень мероприятий'!H127</f>
        <v>326.55788000000001</v>
      </c>
      <c r="G294" s="324"/>
    </row>
    <row r="295" spans="1:7" x14ac:dyDescent="0.2">
      <c r="A295" s="455"/>
      <c r="B295" s="321"/>
      <c r="C295" s="458"/>
      <c r="D295" s="459"/>
      <c r="E295" s="77" t="s">
        <v>97</v>
      </c>
      <c r="F295" s="55">
        <f>'Прил 7 Перечень мероприятий'!I127</f>
        <v>270.5</v>
      </c>
      <c r="G295" s="324"/>
    </row>
    <row r="296" spans="1:7" x14ac:dyDescent="0.2">
      <c r="A296" s="455"/>
      <c r="B296" s="321"/>
      <c r="C296" s="458"/>
      <c r="D296" s="459"/>
      <c r="E296" s="77" t="s">
        <v>98</v>
      </c>
      <c r="F296" s="55">
        <f>'Прил 7 Перечень мероприятий'!J127</f>
        <v>281.3</v>
      </c>
      <c r="G296" s="324"/>
    </row>
    <row r="297" spans="1:7" x14ac:dyDescent="0.2">
      <c r="A297" s="455"/>
      <c r="B297" s="321"/>
      <c r="C297" s="458"/>
      <c r="D297" s="459"/>
      <c r="E297" s="77" t="s">
        <v>99</v>
      </c>
      <c r="F297" s="55">
        <f>'Прил 7 Перечень мероприятий'!K127</f>
        <v>281.3</v>
      </c>
      <c r="G297" s="324"/>
    </row>
    <row r="298" spans="1:7" ht="12" customHeight="1" x14ac:dyDescent="0.2">
      <c r="A298" s="454" t="s">
        <v>251</v>
      </c>
      <c r="B298" s="321" t="s">
        <v>158</v>
      </c>
      <c r="C298" s="456" t="s">
        <v>334</v>
      </c>
      <c r="D298" s="457"/>
      <c r="E298" s="78" t="s">
        <v>53</v>
      </c>
      <c r="F298" s="182">
        <f>SUM(F299:F303)</f>
        <v>710.95339999999999</v>
      </c>
      <c r="G298" s="324"/>
    </row>
    <row r="299" spans="1:7" ht="12" customHeight="1" x14ac:dyDescent="0.2">
      <c r="A299" s="455"/>
      <c r="B299" s="321"/>
      <c r="C299" s="458"/>
      <c r="D299" s="459"/>
      <c r="E299" s="77" t="s">
        <v>4</v>
      </c>
      <c r="F299" s="55">
        <f>'Прил 7 Перечень мероприятий'!G129</f>
        <v>47.11656</v>
      </c>
      <c r="G299" s="324"/>
    </row>
    <row r="300" spans="1:7" ht="12" customHeight="1" x14ac:dyDescent="0.2">
      <c r="A300" s="455"/>
      <c r="B300" s="321"/>
      <c r="C300" s="458"/>
      <c r="D300" s="459"/>
      <c r="E300" s="77" t="s">
        <v>52</v>
      </c>
      <c r="F300" s="55">
        <f>'Прил 7 Перечень мероприятий'!H129</f>
        <v>63.836839999999995</v>
      </c>
      <c r="G300" s="324"/>
    </row>
    <row r="301" spans="1:7" ht="12" customHeight="1" x14ac:dyDescent="0.2">
      <c r="A301" s="455"/>
      <c r="B301" s="321"/>
      <c r="C301" s="458"/>
      <c r="D301" s="459"/>
      <c r="E301" s="77" t="s">
        <v>97</v>
      </c>
      <c r="F301" s="55">
        <f>'Прил 7 Перечень мероприятий'!I129</f>
        <v>200</v>
      </c>
      <c r="G301" s="324"/>
    </row>
    <row r="302" spans="1:7" ht="12" customHeight="1" x14ac:dyDescent="0.2">
      <c r="A302" s="455"/>
      <c r="B302" s="321"/>
      <c r="C302" s="458"/>
      <c r="D302" s="459"/>
      <c r="E302" s="77" t="s">
        <v>98</v>
      </c>
      <c r="F302" s="55">
        <f>'Прил 7 Перечень мероприятий'!J129</f>
        <v>200</v>
      </c>
      <c r="G302" s="324"/>
    </row>
    <row r="303" spans="1:7" ht="12" customHeight="1" x14ac:dyDescent="0.2">
      <c r="A303" s="455"/>
      <c r="B303" s="321"/>
      <c r="C303" s="458"/>
      <c r="D303" s="459"/>
      <c r="E303" s="77" t="s">
        <v>99</v>
      </c>
      <c r="F303" s="55">
        <f>'Прил 7 Перечень мероприятий'!K129</f>
        <v>200</v>
      </c>
      <c r="G303" s="324"/>
    </row>
    <row r="304" spans="1:7" ht="12" customHeight="1" x14ac:dyDescent="0.2">
      <c r="A304" s="454" t="s">
        <v>252</v>
      </c>
      <c r="B304" s="321" t="s">
        <v>158</v>
      </c>
      <c r="C304" s="456" t="s">
        <v>335</v>
      </c>
      <c r="D304" s="457"/>
      <c r="E304" s="78" t="s">
        <v>53</v>
      </c>
      <c r="F304" s="182">
        <f>SUM(F305:F309)</f>
        <v>22.661000000000001</v>
      </c>
      <c r="G304" s="324"/>
    </row>
    <row r="305" spans="1:7" ht="12" customHeight="1" x14ac:dyDescent="0.2">
      <c r="A305" s="455"/>
      <c r="B305" s="321"/>
      <c r="C305" s="458"/>
      <c r="D305" s="459"/>
      <c r="E305" s="77" t="s">
        <v>4</v>
      </c>
      <c r="F305" s="55">
        <f>'Прил 7 Перечень мероприятий'!G131</f>
        <v>5</v>
      </c>
      <c r="G305" s="324"/>
    </row>
    <row r="306" spans="1:7" ht="12" customHeight="1" x14ac:dyDescent="0.2">
      <c r="A306" s="455"/>
      <c r="B306" s="321"/>
      <c r="C306" s="458"/>
      <c r="D306" s="459"/>
      <c r="E306" s="77" t="s">
        <v>52</v>
      </c>
      <c r="F306" s="55">
        <f>'Прил 7 Перечень мероприятий'!H131</f>
        <v>2.661</v>
      </c>
      <c r="G306" s="324"/>
    </row>
    <row r="307" spans="1:7" ht="12" customHeight="1" x14ac:dyDescent="0.2">
      <c r="A307" s="455"/>
      <c r="B307" s="321"/>
      <c r="C307" s="458"/>
      <c r="D307" s="459"/>
      <c r="E307" s="77" t="s">
        <v>97</v>
      </c>
      <c r="F307" s="55">
        <f>'Прил 7 Перечень мероприятий'!I131</f>
        <v>5</v>
      </c>
      <c r="G307" s="324"/>
    </row>
    <row r="308" spans="1:7" ht="12" customHeight="1" x14ac:dyDescent="0.2">
      <c r="A308" s="455"/>
      <c r="B308" s="321"/>
      <c r="C308" s="458"/>
      <c r="D308" s="459"/>
      <c r="E308" s="77" t="s">
        <v>98</v>
      </c>
      <c r="F308" s="55">
        <f>'Прил 7 Перечень мероприятий'!J131</f>
        <v>5</v>
      </c>
      <c r="G308" s="324"/>
    </row>
    <row r="309" spans="1:7" ht="12" customHeight="1" x14ac:dyDescent="0.2">
      <c r="A309" s="455"/>
      <c r="B309" s="321"/>
      <c r="C309" s="458"/>
      <c r="D309" s="459"/>
      <c r="E309" s="77" t="s">
        <v>99</v>
      </c>
      <c r="F309" s="55">
        <f>'Прил 7 Перечень мероприятий'!K131</f>
        <v>5</v>
      </c>
      <c r="G309" s="324"/>
    </row>
    <row r="310" spans="1:7" ht="15.75" customHeight="1" x14ac:dyDescent="0.2">
      <c r="A310" s="454" t="s">
        <v>246</v>
      </c>
      <c r="B310" s="321" t="s">
        <v>158</v>
      </c>
      <c r="C310" s="456" t="s">
        <v>460</v>
      </c>
      <c r="D310" s="457"/>
      <c r="E310" s="78" t="s">
        <v>53</v>
      </c>
      <c r="F310" s="182">
        <f>SUM(F311:F315)</f>
        <v>822.39201000000003</v>
      </c>
      <c r="G310" s="324"/>
    </row>
    <row r="311" spans="1:7" ht="15.75" customHeight="1" x14ac:dyDescent="0.2">
      <c r="A311" s="455"/>
      <c r="B311" s="321"/>
      <c r="C311" s="458"/>
      <c r="D311" s="459"/>
      <c r="E311" s="77" t="s">
        <v>4</v>
      </c>
      <c r="F311" s="55">
        <f>'Прил 7 Перечень мероприятий'!G133</f>
        <v>193.1</v>
      </c>
      <c r="G311" s="324"/>
    </row>
    <row r="312" spans="1:7" ht="15.75" customHeight="1" x14ac:dyDescent="0.2">
      <c r="A312" s="455"/>
      <c r="B312" s="321"/>
      <c r="C312" s="458"/>
      <c r="D312" s="459"/>
      <c r="E312" s="77" t="s">
        <v>52</v>
      </c>
      <c r="F312" s="55">
        <f>'Прил 7 Перечень мероприятий'!H133</f>
        <v>29.292009999999998</v>
      </c>
      <c r="G312" s="324"/>
    </row>
    <row r="313" spans="1:7" ht="15.75" customHeight="1" x14ac:dyDescent="0.2">
      <c r="A313" s="455"/>
      <c r="B313" s="321"/>
      <c r="C313" s="458"/>
      <c r="D313" s="459"/>
      <c r="E313" s="77" t="s">
        <v>97</v>
      </c>
      <c r="F313" s="55">
        <f>'Прил 7 Перечень мероприятий'!I133</f>
        <v>200</v>
      </c>
      <c r="G313" s="324"/>
    </row>
    <row r="314" spans="1:7" ht="15.75" customHeight="1" x14ac:dyDescent="0.2">
      <c r="A314" s="455"/>
      <c r="B314" s="321"/>
      <c r="C314" s="458"/>
      <c r="D314" s="459"/>
      <c r="E314" s="77" t="s">
        <v>98</v>
      </c>
      <c r="F314" s="55">
        <f>'Прил 7 Перечень мероприятий'!J133</f>
        <v>200</v>
      </c>
      <c r="G314" s="324"/>
    </row>
    <row r="315" spans="1:7" ht="15.75" customHeight="1" x14ac:dyDescent="0.2">
      <c r="A315" s="455"/>
      <c r="B315" s="321"/>
      <c r="C315" s="458"/>
      <c r="D315" s="459"/>
      <c r="E315" s="77" t="s">
        <v>99</v>
      </c>
      <c r="F315" s="55">
        <f>'Прил 7 Перечень мероприятий'!K133</f>
        <v>200</v>
      </c>
      <c r="G315" s="324"/>
    </row>
    <row r="316" spans="1:7" ht="15" customHeight="1" x14ac:dyDescent="0.2">
      <c r="A316" s="454" t="s">
        <v>253</v>
      </c>
      <c r="B316" s="321" t="s">
        <v>158</v>
      </c>
      <c r="C316" s="462" t="s">
        <v>399</v>
      </c>
      <c r="D316" s="463"/>
      <c r="E316" s="78" t="s">
        <v>53</v>
      </c>
      <c r="F316" s="182">
        <f>SUM(F317:F321)</f>
        <v>756.44015000000002</v>
      </c>
      <c r="G316" s="324"/>
    </row>
    <row r="317" spans="1:7" ht="15" customHeight="1" x14ac:dyDescent="0.2">
      <c r="A317" s="455"/>
      <c r="B317" s="321"/>
      <c r="C317" s="464"/>
      <c r="D317" s="465"/>
      <c r="E317" s="77" t="s">
        <v>4</v>
      </c>
      <c r="F317" s="55">
        <f>'Прил 7 Перечень мероприятий'!G135</f>
        <v>37.79</v>
      </c>
      <c r="G317" s="324"/>
    </row>
    <row r="318" spans="1:7" ht="15" customHeight="1" x14ac:dyDescent="0.2">
      <c r="A318" s="455"/>
      <c r="B318" s="321"/>
      <c r="C318" s="464"/>
      <c r="D318" s="465"/>
      <c r="E318" s="77" t="s">
        <v>52</v>
      </c>
      <c r="F318" s="55">
        <f>'Прил 7 Перечень мероприятий'!H135</f>
        <v>118.65015</v>
      </c>
      <c r="G318" s="324"/>
    </row>
    <row r="319" spans="1:7" ht="15" customHeight="1" x14ac:dyDescent="0.2">
      <c r="A319" s="455"/>
      <c r="B319" s="321"/>
      <c r="C319" s="464"/>
      <c r="D319" s="465"/>
      <c r="E319" s="77" t="s">
        <v>97</v>
      </c>
      <c r="F319" s="55">
        <f>'Прил 7 Перечень мероприятий'!I135</f>
        <v>200</v>
      </c>
      <c r="G319" s="324"/>
    </row>
    <row r="320" spans="1:7" ht="15" customHeight="1" x14ac:dyDescent="0.2">
      <c r="A320" s="455"/>
      <c r="B320" s="321"/>
      <c r="C320" s="464"/>
      <c r="D320" s="465"/>
      <c r="E320" s="77" t="s">
        <v>98</v>
      </c>
      <c r="F320" s="55">
        <f>'Прил 7 Перечень мероприятий'!J135</f>
        <v>200</v>
      </c>
      <c r="G320" s="324"/>
    </row>
    <row r="321" spans="1:7" ht="15" customHeight="1" x14ac:dyDescent="0.2">
      <c r="A321" s="455"/>
      <c r="B321" s="321"/>
      <c r="C321" s="464"/>
      <c r="D321" s="465"/>
      <c r="E321" s="77" t="s">
        <v>99</v>
      </c>
      <c r="F321" s="55">
        <f>'Прил 7 Перечень мероприятий'!K135</f>
        <v>200</v>
      </c>
      <c r="G321" s="324"/>
    </row>
    <row r="322" spans="1:7" ht="13.5" customHeight="1" x14ac:dyDescent="0.2">
      <c r="A322" s="454" t="s">
        <v>254</v>
      </c>
      <c r="B322" s="321" t="s">
        <v>158</v>
      </c>
      <c r="C322" s="456" t="s">
        <v>397</v>
      </c>
      <c r="D322" s="457"/>
      <c r="E322" s="78" t="s">
        <v>53</v>
      </c>
      <c r="F322" s="182">
        <f>SUM(F323:F327)</f>
        <v>1483.49</v>
      </c>
      <c r="G322" s="324"/>
    </row>
    <row r="323" spans="1:7" ht="13.5" customHeight="1" x14ac:dyDescent="0.2">
      <c r="A323" s="455"/>
      <c r="B323" s="321"/>
      <c r="C323" s="458"/>
      <c r="D323" s="459"/>
      <c r="E323" s="77" t="s">
        <v>4</v>
      </c>
      <c r="F323" s="55">
        <f>'Прил 7 Перечень мероприятий'!G137</f>
        <v>330.52</v>
      </c>
      <c r="G323" s="324"/>
    </row>
    <row r="324" spans="1:7" ht="13.5" customHeight="1" x14ac:dyDescent="0.2">
      <c r="A324" s="455"/>
      <c r="B324" s="321"/>
      <c r="C324" s="458"/>
      <c r="D324" s="459"/>
      <c r="E324" s="77" t="s">
        <v>52</v>
      </c>
      <c r="F324" s="55">
        <f>'Прил 7 Перечень мероприятий'!H137</f>
        <v>252.97</v>
      </c>
      <c r="G324" s="324"/>
    </row>
    <row r="325" spans="1:7" ht="13.5" customHeight="1" x14ac:dyDescent="0.2">
      <c r="A325" s="455"/>
      <c r="B325" s="321"/>
      <c r="C325" s="458"/>
      <c r="D325" s="459"/>
      <c r="E325" s="77" t="s">
        <v>97</v>
      </c>
      <c r="F325" s="55">
        <f>'Прил 7 Перечень мероприятий'!I137</f>
        <v>300</v>
      </c>
      <c r="G325" s="324"/>
    </row>
    <row r="326" spans="1:7" ht="13.5" customHeight="1" x14ac:dyDescent="0.2">
      <c r="A326" s="455"/>
      <c r="B326" s="321"/>
      <c r="C326" s="458"/>
      <c r="D326" s="459"/>
      <c r="E326" s="77" t="s">
        <v>98</v>
      </c>
      <c r="F326" s="55">
        <f>'Прил 7 Перечень мероприятий'!J137</f>
        <v>300</v>
      </c>
      <c r="G326" s="324"/>
    </row>
    <row r="327" spans="1:7" ht="13.5" customHeight="1" x14ac:dyDescent="0.2">
      <c r="A327" s="455"/>
      <c r="B327" s="321"/>
      <c r="C327" s="458"/>
      <c r="D327" s="459"/>
      <c r="E327" s="77" t="s">
        <v>99</v>
      </c>
      <c r="F327" s="55">
        <f>'Прил 7 Перечень мероприятий'!K137</f>
        <v>300</v>
      </c>
      <c r="G327" s="324"/>
    </row>
    <row r="328" spans="1:7" ht="15" customHeight="1" x14ac:dyDescent="0.2">
      <c r="A328" s="466" t="s">
        <v>255</v>
      </c>
      <c r="B328" s="321" t="s">
        <v>158</v>
      </c>
      <c r="C328" s="461" t="s">
        <v>180</v>
      </c>
      <c r="D328" s="461"/>
      <c r="E328" s="107" t="s">
        <v>53</v>
      </c>
      <c r="F328" s="182">
        <f>SUM(F329:F333)</f>
        <v>270</v>
      </c>
      <c r="G328" s="324"/>
    </row>
    <row r="329" spans="1:7" ht="15" customHeight="1" x14ac:dyDescent="0.2">
      <c r="A329" s="467"/>
      <c r="B329" s="321"/>
      <c r="C329" s="461"/>
      <c r="D329" s="461"/>
      <c r="E329" s="105" t="s">
        <v>4</v>
      </c>
      <c r="F329" s="55">
        <f>'Прил 7 Перечень мероприятий'!G139</f>
        <v>0</v>
      </c>
      <c r="G329" s="324"/>
    </row>
    <row r="330" spans="1:7" ht="15" customHeight="1" x14ac:dyDescent="0.2">
      <c r="A330" s="467"/>
      <c r="B330" s="321"/>
      <c r="C330" s="461"/>
      <c r="D330" s="461"/>
      <c r="E330" s="105" t="s">
        <v>52</v>
      </c>
      <c r="F330" s="55">
        <f>'Прил 7 Перечень мероприятий'!H139</f>
        <v>0</v>
      </c>
      <c r="G330" s="324"/>
    </row>
    <row r="331" spans="1:7" ht="15" customHeight="1" x14ac:dyDescent="0.2">
      <c r="A331" s="467"/>
      <c r="B331" s="321"/>
      <c r="C331" s="461"/>
      <c r="D331" s="461"/>
      <c r="E331" s="105" t="s">
        <v>97</v>
      </c>
      <c r="F331" s="55">
        <f>'Прил 7 Перечень мероприятий'!I139</f>
        <v>90</v>
      </c>
      <c r="G331" s="324"/>
    </row>
    <row r="332" spans="1:7" ht="15" customHeight="1" x14ac:dyDescent="0.2">
      <c r="A332" s="467"/>
      <c r="B332" s="321"/>
      <c r="C332" s="461"/>
      <c r="D332" s="461"/>
      <c r="E332" s="105" t="s">
        <v>98</v>
      </c>
      <c r="F332" s="55">
        <f>'Прил 7 Перечень мероприятий'!J139</f>
        <v>90</v>
      </c>
      <c r="G332" s="324"/>
    </row>
    <row r="333" spans="1:7" ht="15" customHeight="1" x14ac:dyDescent="0.2">
      <c r="A333" s="467"/>
      <c r="B333" s="321"/>
      <c r="C333" s="461"/>
      <c r="D333" s="461"/>
      <c r="E333" s="105" t="s">
        <v>99</v>
      </c>
      <c r="F333" s="55">
        <f>'Прил 7 Перечень мероприятий'!K139</f>
        <v>90</v>
      </c>
      <c r="G333" s="324"/>
    </row>
    <row r="334" spans="1:7" ht="13.5" customHeight="1" x14ac:dyDescent="0.2">
      <c r="A334" s="466" t="s">
        <v>284</v>
      </c>
      <c r="B334" s="321" t="s">
        <v>158</v>
      </c>
      <c r="C334" s="461" t="s">
        <v>286</v>
      </c>
      <c r="D334" s="461"/>
      <c r="E334" s="107" t="s">
        <v>53</v>
      </c>
      <c r="F334" s="182">
        <f>SUM(F335:F339)</f>
        <v>0</v>
      </c>
      <c r="G334" s="324"/>
    </row>
    <row r="335" spans="1:7" ht="13.5" customHeight="1" x14ac:dyDescent="0.2">
      <c r="A335" s="467"/>
      <c r="B335" s="321"/>
      <c r="C335" s="461"/>
      <c r="D335" s="461"/>
      <c r="E335" s="105" t="s">
        <v>4</v>
      </c>
      <c r="F335" s="55">
        <v>0</v>
      </c>
      <c r="G335" s="324"/>
    </row>
    <row r="336" spans="1:7" ht="13.5" customHeight="1" x14ac:dyDescent="0.2">
      <c r="A336" s="467"/>
      <c r="B336" s="321"/>
      <c r="C336" s="461"/>
      <c r="D336" s="461"/>
      <c r="E336" s="105" t="s">
        <v>52</v>
      </c>
      <c r="F336" s="55">
        <v>0</v>
      </c>
      <c r="G336" s="324"/>
    </row>
    <row r="337" spans="1:7" ht="13.5" customHeight="1" x14ac:dyDescent="0.2">
      <c r="A337" s="467"/>
      <c r="B337" s="321"/>
      <c r="C337" s="461"/>
      <c r="D337" s="461"/>
      <c r="E337" s="105" t="s">
        <v>97</v>
      </c>
      <c r="F337" s="55">
        <v>0</v>
      </c>
      <c r="G337" s="324"/>
    </row>
    <row r="338" spans="1:7" ht="13.5" customHeight="1" x14ac:dyDescent="0.2">
      <c r="A338" s="467"/>
      <c r="B338" s="321"/>
      <c r="C338" s="461"/>
      <c r="D338" s="461"/>
      <c r="E338" s="105" t="s">
        <v>98</v>
      </c>
      <c r="F338" s="55">
        <v>0</v>
      </c>
      <c r="G338" s="324"/>
    </row>
    <row r="339" spans="1:7" ht="13.5" customHeight="1" x14ac:dyDescent="0.2">
      <c r="A339" s="467"/>
      <c r="B339" s="321"/>
      <c r="C339" s="461"/>
      <c r="D339" s="461"/>
      <c r="E339" s="105" t="s">
        <v>99</v>
      </c>
      <c r="F339" s="55">
        <v>0</v>
      </c>
      <c r="G339" s="324"/>
    </row>
    <row r="340" spans="1:7" ht="11.25" customHeight="1" x14ac:dyDescent="0.2">
      <c r="A340" s="466" t="s">
        <v>285</v>
      </c>
      <c r="B340" s="321" t="s">
        <v>158</v>
      </c>
      <c r="C340" s="461" t="s">
        <v>287</v>
      </c>
      <c r="D340" s="461"/>
      <c r="E340" s="78" t="s">
        <v>53</v>
      </c>
      <c r="F340" s="182">
        <f>SUM(F341:F345)</f>
        <v>4.2</v>
      </c>
      <c r="G340" s="324"/>
    </row>
    <row r="341" spans="1:7" ht="11.25" customHeight="1" x14ac:dyDescent="0.2">
      <c r="A341" s="467"/>
      <c r="B341" s="321"/>
      <c r="C341" s="461"/>
      <c r="D341" s="461"/>
      <c r="E341" s="77" t="s">
        <v>4</v>
      </c>
      <c r="F341" s="55">
        <f>'Прил 7 Перечень мероприятий'!F142</f>
        <v>4.2</v>
      </c>
      <c r="G341" s="324"/>
    </row>
    <row r="342" spans="1:7" ht="11.25" customHeight="1" x14ac:dyDescent="0.2">
      <c r="A342" s="467"/>
      <c r="B342" s="321"/>
      <c r="C342" s="461"/>
      <c r="D342" s="461"/>
      <c r="E342" s="77" t="s">
        <v>52</v>
      </c>
      <c r="F342" s="55">
        <f>'Прил 7 Перечень мероприятий'!H142</f>
        <v>0</v>
      </c>
      <c r="G342" s="324"/>
    </row>
    <row r="343" spans="1:7" ht="11.25" customHeight="1" x14ac:dyDescent="0.2">
      <c r="A343" s="467"/>
      <c r="B343" s="321"/>
      <c r="C343" s="461"/>
      <c r="D343" s="461"/>
      <c r="E343" s="77" t="s">
        <v>97</v>
      </c>
      <c r="F343" s="55">
        <f>'Прил 7 Перечень мероприятий'!I142</f>
        <v>0</v>
      </c>
      <c r="G343" s="324"/>
    </row>
    <row r="344" spans="1:7" ht="11.25" customHeight="1" x14ac:dyDescent="0.2">
      <c r="A344" s="467"/>
      <c r="B344" s="321"/>
      <c r="C344" s="461"/>
      <c r="D344" s="461"/>
      <c r="E344" s="77" t="s">
        <v>98</v>
      </c>
      <c r="F344" s="55">
        <f>'Прил 7 Перечень мероприятий'!J142</f>
        <v>0</v>
      </c>
      <c r="G344" s="324"/>
    </row>
    <row r="345" spans="1:7" ht="11.25" customHeight="1" x14ac:dyDescent="0.2">
      <c r="A345" s="467"/>
      <c r="B345" s="321"/>
      <c r="C345" s="461"/>
      <c r="D345" s="461"/>
      <c r="E345" s="77" t="s">
        <v>99</v>
      </c>
      <c r="F345" s="55">
        <f>'Прил 7 Перечень мероприятий'!K142</f>
        <v>0</v>
      </c>
      <c r="G345" s="324"/>
    </row>
  </sheetData>
  <mergeCells count="240">
    <mergeCell ref="A150:A155"/>
    <mergeCell ref="B150:B155"/>
    <mergeCell ref="C150:D155"/>
    <mergeCell ref="G150:G155"/>
    <mergeCell ref="A156:A161"/>
    <mergeCell ref="B156:B161"/>
    <mergeCell ref="D156:D161"/>
    <mergeCell ref="G156:G161"/>
    <mergeCell ref="A138:A143"/>
    <mergeCell ref="B138:B143"/>
    <mergeCell ref="D138:D143"/>
    <mergeCell ref="G138:G143"/>
    <mergeCell ref="A264:A269"/>
    <mergeCell ref="B264:B269"/>
    <mergeCell ref="D264:D269"/>
    <mergeCell ref="G264:G269"/>
    <mergeCell ref="A276:A281"/>
    <mergeCell ref="B276:B281"/>
    <mergeCell ref="D276:D281"/>
    <mergeCell ref="G276:G281"/>
    <mergeCell ref="B174:B179"/>
    <mergeCell ref="C174:D179"/>
    <mergeCell ref="G174:G179"/>
    <mergeCell ref="B216:B221"/>
    <mergeCell ref="C216:D221"/>
    <mergeCell ref="G216:G221"/>
    <mergeCell ref="A234:A239"/>
    <mergeCell ref="B234:B239"/>
    <mergeCell ref="D234:D239"/>
    <mergeCell ref="G234:G239"/>
    <mergeCell ref="B186:B191"/>
    <mergeCell ref="A174:A179"/>
    <mergeCell ref="A270:A275"/>
    <mergeCell ref="B270:B275"/>
    <mergeCell ref="D270:D275"/>
    <mergeCell ref="G270:G275"/>
    <mergeCell ref="A168:A173"/>
    <mergeCell ref="C168:D173"/>
    <mergeCell ref="A163:B167"/>
    <mergeCell ref="A258:A263"/>
    <mergeCell ref="B258:B263"/>
    <mergeCell ref="D258:D263"/>
    <mergeCell ref="G258:G263"/>
    <mergeCell ref="A246:A251"/>
    <mergeCell ref="B246:B251"/>
    <mergeCell ref="D246:D251"/>
    <mergeCell ref="G246:G251"/>
    <mergeCell ref="B228:B233"/>
    <mergeCell ref="C228:D233"/>
    <mergeCell ref="G228:G233"/>
    <mergeCell ref="A180:A185"/>
    <mergeCell ref="C186:D191"/>
    <mergeCell ref="A252:A257"/>
    <mergeCell ref="B252:B257"/>
    <mergeCell ref="D252:D257"/>
    <mergeCell ref="G252:G257"/>
    <mergeCell ref="C163:D167"/>
    <mergeCell ref="G163:G167"/>
    <mergeCell ref="F163:F167"/>
    <mergeCell ref="B18:B23"/>
    <mergeCell ref="C18:D23"/>
    <mergeCell ref="G18:G23"/>
    <mergeCell ref="B180:B185"/>
    <mergeCell ref="C180:D185"/>
    <mergeCell ref="G180:G185"/>
    <mergeCell ref="A204:A209"/>
    <mergeCell ref="B204:B209"/>
    <mergeCell ref="C204:D209"/>
    <mergeCell ref="G204:G209"/>
    <mergeCell ref="A198:A203"/>
    <mergeCell ref="B198:B203"/>
    <mergeCell ref="C198:D203"/>
    <mergeCell ref="G186:G191"/>
    <mergeCell ref="G60:G65"/>
    <mergeCell ref="A60:A65"/>
    <mergeCell ref="C60:D65"/>
    <mergeCell ref="B24:B29"/>
    <mergeCell ref="G24:G29"/>
    <mergeCell ref="A24:A29"/>
    <mergeCell ref="A30:A35"/>
    <mergeCell ref="B30:B35"/>
    <mergeCell ref="A114:A119"/>
    <mergeCell ref="B114:B119"/>
    <mergeCell ref="A7:G7"/>
    <mergeCell ref="A240:A245"/>
    <mergeCell ref="B240:B245"/>
    <mergeCell ref="D240:D245"/>
    <mergeCell ref="G240:G245"/>
    <mergeCell ref="C222:D227"/>
    <mergeCell ref="G222:G227"/>
    <mergeCell ref="A228:A233"/>
    <mergeCell ref="A222:A227"/>
    <mergeCell ref="B222:B227"/>
    <mergeCell ref="A72:A77"/>
    <mergeCell ref="C72:D77"/>
    <mergeCell ref="G66:G71"/>
    <mergeCell ref="B48:B53"/>
    <mergeCell ref="C48:D53"/>
    <mergeCell ref="E8:F8"/>
    <mergeCell ref="A54:A59"/>
    <mergeCell ref="A42:A47"/>
    <mergeCell ref="G42:G47"/>
    <mergeCell ref="A48:A53"/>
    <mergeCell ref="A18:A23"/>
    <mergeCell ref="G108:G113"/>
    <mergeCell ref="B84:B89"/>
    <mergeCell ref="G84:G89"/>
    <mergeCell ref="D1:G1"/>
    <mergeCell ref="E2:G2"/>
    <mergeCell ref="A283:B285"/>
    <mergeCell ref="C283:D285"/>
    <mergeCell ref="E283:E285"/>
    <mergeCell ref="F283:F285"/>
    <mergeCell ref="G283:G285"/>
    <mergeCell ref="G198:G203"/>
    <mergeCell ref="A192:A197"/>
    <mergeCell ref="B192:B197"/>
    <mergeCell ref="C192:D197"/>
    <mergeCell ref="G192:G197"/>
    <mergeCell ref="A210:A215"/>
    <mergeCell ref="B210:B215"/>
    <mergeCell ref="A282:G282"/>
    <mergeCell ref="C210:D215"/>
    <mergeCell ref="G210:G215"/>
    <mergeCell ref="A216:A221"/>
    <mergeCell ref="A36:A41"/>
    <mergeCell ref="B36:B41"/>
    <mergeCell ref="C36:D41"/>
    <mergeCell ref="A144:A149"/>
    <mergeCell ref="B144:B149"/>
    <mergeCell ref="G114:G119"/>
    <mergeCell ref="A120:A125"/>
    <mergeCell ref="B42:B47"/>
    <mergeCell ref="C42:D47"/>
    <mergeCell ref="A66:A71"/>
    <mergeCell ref="C66:D71"/>
    <mergeCell ref="C54:D59"/>
    <mergeCell ref="G54:G59"/>
    <mergeCell ref="A90:A95"/>
    <mergeCell ref="B90:B95"/>
    <mergeCell ref="D90:D95"/>
    <mergeCell ref="G90:G95"/>
    <mergeCell ref="A96:A101"/>
    <mergeCell ref="B96:B101"/>
    <mergeCell ref="D96:D101"/>
    <mergeCell ref="G96:G101"/>
    <mergeCell ref="A132:A137"/>
    <mergeCell ref="B132:B137"/>
    <mergeCell ref="D132:D137"/>
    <mergeCell ref="G132:G137"/>
    <mergeCell ref="A126:A131"/>
    <mergeCell ref="B126:B131"/>
    <mergeCell ref="D126:D131"/>
    <mergeCell ref="G126:G131"/>
    <mergeCell ref="B12:B17"/>
    <mergeCell ref="A84:A89"/>
    <mergeCell ref="A12:A17"/>
    <mergeCell ref="A78:A83"/>
    <mergeCell ref="B78:B83"/>
    <mergeCell ref="D78:D83"/>
    <mergeCell ref="G78:G83"/>
    <mergeCell ref="B120:B125"/>
    <mergeCell ref="A108:A113"/>
    <mergeCell ref="B108:B113"/>
    <mergeCell ref="D102:D107"/>
    <mergeCell ref="A102:A107"/>
    <mergeCell ref="G102:G107"/>
    <mergeCell ref="B102:B107"/>
    <mergeCell ref="G120:G125"/>
    <mergeCell ref="D114:D119"/>
    <mergeCell ref="A10:G10"/>
    <mergeCell ref="A186:A191"/>
    <mergeCell ref="B72:B77"/>
    <mergeCell ref="G72:G77"/>
    <mergeCell ref="C8:D8"/>
    <mergeCell ref="C9:D9"/>
    <mergeCell ref="G168:G173"/>
    <mergeCell ref="B168:B173"/>
    <mergeCell ref="C30:D35"/>
    <mergeCell ref="C24:D29"/>
    <mergeCell ref="G30:G35"/>
    <mergeCell ref="G36:G41"/>
    <mergeCell ref="B66:B71"/>
    <mergeCell ref="A11:B11"/>
    <mergeCell ref="C12:D17"/>
    <mergeCell ref="G12:G17"/>
    <mergeCell ref="C108:D113"/>
    <mergeCell ref="B60:B65"/>
    <mergeCell ref="G48:G53"/>
    <mergeCell ref="B54:B59"/>
    <mergeCell ref="E163:E167"/>
    <mergeCell ref="D84:D89"/>
    <mergeCell ref="D144:D149"/>
    <mergeCell ref="E9:F9"/>
    <mergeCell ref="G292:G297"/>
    <mergeCell ref="B340:B345"/>
    <mergeCell ref="C340:D345"/>
    <mergeCell ref="G340:G345"/>
    <mergeCell ref="A322:A327"/>
    <mergeCell ref="B322:B327"/>
    <mergeCell ref="C322:D327"/>
    <mergeCell ref="G322:G327"/>
    <mergeCell ref="A316:A321"/>
    <mergeCell ref="B316:B321"/>
    <mergeCell ref="C316:D321"/>
    <mergeCell ref="G316:G321"/>
    <mergeCell ref="A340:A345"/>
    <mergeCell ref="A334:A339"/>
    <mergeCell ref="B334:B339"/>
    <mergeCell ref="C334:D339"/>
    <mergeCell ref="G334:G339"/>
    <mergeCell ref="A328:A333"/>
    <mergeCell ref="B328:B333"/>
    <mergeCell ref="C328:D333"/>
    <mergeCell ref="G328:G333"/>
    <mergeCell ref="C292:D297"/>
    <mergeCell ref="A162:G162"/>
    <mergeCell ref="G144:G149"/>
    <mergeCell ref="D120:D125"/>
    <mergeCell ref="D3:G3"/>
    <mergeCell ref="E4:G4"/>
    <mergeCell ref="D6:G6"/>
    <mergeCell ref="A310:A315"/>
    <mergeCell ref="B310:B315"/>
    <mergeCell ref="C310:D315"/>
    <mergeCell ref="G310:G315"/>
    <mergeCell ref="A286:A291"/>
    <mergeCell ref="B286:B291"/>
    <mergeCell ref="C286:D291"/>
    <mergeCell ref="G286:G291"/>
    <mergeCell ref="A304:A309"/>
    <mergeCell ref="B304:B309"/>
    <mergeCell ref="C304:D309"/>
    <mergeCell ref="G304:G309"/>
    <mergeCell ref="A298:A303"/>
    <mergeCell ref="B298:B303"/>
    <mergeCell ref="C298:D303"/>
    <mergeCell ref="G298:G303"/>
    <mergeCell ref="A292:A297"/>
    <mergeCell ref="B292:B297"/>
  </mergeCells>
  <pageMargins left="0.9055118110236221" right="0.9055118110236221" top="0.74803149606299213" bottom="0.74803149606299213" header="0.31496062992125984" footer="0.31496062992125984"/>
  <pageSetup paperSize="9" scale="52" fitToHeight="0" orientation="landscape" r:id="rId1"/>
  <rowBreaks count="5" manualBreakCount="5">
    <brk id="47" max="6" man="1"/>
    <brk id="95" max="6" man="1"/>
    <brk id="155" max="6" man="1"/>
    <brk id="215" max="6" man="1"/>
    <brk id="28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7" zoomScaleNormal="100" workbookViewId="0">
      <selection activeCell="E28" sqref="E28"/>
    </sheetView>
  </sheetViews>
  <sheetFormatPr defaultRowHeight="15.75" x14ac:dyDescent="0.25"/>
  <cols>
    <col min="1" max="1" width="4.85546875" style="208" customWidth="1"/>
    <col min="2" max="2" width="34.7109375" style="208" customWidth="1"/>
    <col min="3" max="3" width="19.140625" style="208" customWidth="1"/>
    <col min="4" max="4" width="21" style="208" customWidth="1"/>
    <col min="5" max="5" width="15.5703125" style="208" customWidth="1"/>
    <col min="6" max="6" width="26.28515625" style="208" customWidth="1"/>
    <col min="7" max="7" width="14" style="208" customWidth="1"/>
    <col min="8" max="9" width="14.42578125" style="208" customWidth="1"/>
    <col min="10" max="10" width="11.85546875" style="208" customWidth="1"/>
    <col min="11" max="16384" width="9.140625" style="208"/>
  </cols>
  <sheetData>
    <row r="1" spans="1:10" x14ac:dyDescent="0.25">
      <c r="A1" s="539" t="s">
        <v>357</v>
      </c>
      <c r="B1" s="539"/>
      <c r="C1" s="539"/>
      <c r="D1" s="539"/>
      <c r="E1" s="539"/>
      <c r="F1" s="539"/>
      <c r="G1" s="539"/>
      <c r="H1" s="539"/>
      <c r="I1" s="539"/>
      <c r="J1" s="539"/>
    </row>
    <row r="2" spans="1:10" x14ac:dyDescent="0.25">
      <c r="A2" s="539" t="s">
        <v>366</v>
      </c>
      <c r="B2" s="539"/>
      <c r="C2" s="539"/>
      <c r="D2" s="539"/>
      <c r="E2" s="539"/>
      <c r="F2" s="539"/>
      <c r="G2" s="539"/>
      <c r="H2" s="539"/>
      <c r="I2" s="539"/>
      <c r="J2" s="539"/>
    </row>
    <row r="3" spans="1:10" x14ac:dyDescent="0.25">
      <c r="A3" s="539"/>
      <c r="B3" s="539"/>
      <c r="C3" s="539"/>
      <c r="D3" s="539"/>
      <c r="E3" s="539"/>
      <c r="F3" s="539"/>
      <c r="G3" s="539"/>
      <c r="H3" s="539"/>
      <c r="I3" s="539"/>
      <c r="J3" s="539"/>
    </row>
    <row r="4" spans="1:10" ht="40.5" customHeight="1" x14ac:dyDescent="0.25">
      <c r="A4" s="538" t="s">
        <v>390</v>
      </c>
      <c r="B4" s="538"/>
      <c r="C4" s="538"/>
      <c r="D4" s="538"/>
      <c r="E4" s="538"/>
      <c r="F4" s="538"/>
      <c r="G4" s="538"/>
      <c r="H4" s="538"/>
      <c r="I4" s="538"/>
      <c r="J4" s="538"/>
    </row>
    <row r="5" spans="1:10" ht="35.25" customHeight="1" x14ac:dyDescent="0.25">
      <c r="A5" s="538" t="s">
        <v>391</v>
      </c>
      <c r="B5" s="538"/>
      <c r="C5" s="538"/>
      <c r="D5" s="538"/>
      <c r="E5" s="538"/>
      <c r="F5" s="538"/>
      <c r="G5" s="538"/>
      <c r="H5" s="538"/>
      <c r="I5" s="538"/>
      <c r="J5" s="538"/>
    </row>
    <row r="6" spans="1:10" ht="24.75" customHeight="1" x14ac:dyDescent="0.25">
      <c r="A6" s="540" t="s">
        <v>367</v>
      </c>
      <c r="B6" s="540"/>
      <c r="C6" s="540"/>
      <c r="D6" s="540"/>
      <c r="E6" s="540"/>
      <c r="F6" s="540"/>
      <c r="G6" s="540"/>
      <c r="H6" s="540"/>
      <c r="I6" s="540"/>
      <c r="J6" s="540"/>
    </row>
    <row r="7" spans="1:10" ht="34.5" customHeight="1" x14ac:dyDescent="0.25">
      <c r="A7" s="537" t="s">
        <v>368</v>
      </c>
      <c r="B7" s="537"/>
      <c r="C7" s="537"/>
      <c r="D7" s="537"/>
      <c r="E7" s="537"/>
      <c r="F7" s="537"/>
      <c r="G7" s="537"/>
      <c r="H7" s="537"/>
      <c r="I7" s="537"/>
      <c r="J7" s="537"/>
    </row>
    <row r="8" spans="1:10" x14ac:dyDescent="0.25">
      <c r="A8" s="206"/>
    </row>
    <row r="9" spans="1:10" x14ac:dyDescent="0.25">
      <c r="A9" s="203" t="s">
        <v>448</v>
      </c>
    </row>
    <row r="10" spans="1:10" ht="7.5" customHeight="1" x14ac:dyDescent="0.25">
      <c r="A10" s="203"/>
    </row>
    <row r="11" spans="1:10" x14ac:dyDescent="0.25">
      <c r="A11" s="203" t="s">
        <v>449</v>
      </c>
    </row>
    <row r="12" spans="1:10" x14ac:dyDescent="0.25">
      <c r="A12" s="218"/>
    </row>
    <row r="13" spans="1:10" ht="15" customHeight="1" x14ac:dyDescent="0.25">
      <c r="A13" s="536" t="s">
        <v>353</v>
      </c>
      <c r="B13" s="536" t="s">
        <v>369</v>
      </c>
      <c r="C13" s="536" t="s">
        <v>370</v>
      </c>
      <c r="D13" s="536" t="s">
        <v>371</v>
      </c>
      <c r="E13" s="536" t="s">
        <v>372</v>
      </c>
      <c r="F13" s="536" t="s">
        <v>355</v>
      </c>
      <c r="G13" s="536" t="s">
        <v>358</v>
      </c>
      <c r="H13" s="536"/>
      <c r="I13" s="536"/>
      <c r="J13" s="536"/>
    </row>
    <row r="14" spans="1:10" ht="80.25" customHeight="1" x14ac:dyDescent="0.25">
      <c r="A14" s="536"/>
      <c r="B14" s="536"/>
      <c r="C14" s="536"/>
      <c r="D14" s="536"/>
      <c r="E14" s="536"/>
      <c r="F14" s="536"/>
      <c r="G14" s="210" t="s">
        <v>26</v>
      </c>
      <c r="H14" s="209" t="s">
        <v>4</v>
      </c>
      <c r="I14" s="209" t="s">
        <v>5</v>
      </c>
      <c r="J14" s="209" t="s">
        <v>91</v>
      </c>
    </row>
    <row r="15" spans="1:10" x14ac:dyDescent="0.25">
      <c r="A15" s="210">
        <v>1</v>
      </c>
      <c r="B15" s="210">
        <v>2</v>
      </c>
      <c r="C15" s="210">
        <v>3</v>
      </c>
      <c r="D15" s="210">
        <v>4</v>
      </c>
      <c r="E15" s="210">
        <v>5</v>
      </c>
      <c r="F15" s="210">
        <v>6</v>
      </c>
      <c r="G15" s="210">
        <v>7</v>
      </c>
      <c r="H15" s="210">
        <v>8</v>
      </c>
      <c r="I15" s="210">
        <v>9</v>
      </c>
      <c r="J15" s="210">
        <v>10</v>
      </c>
    </row>
    <row r="16" spans="1:10" ht="24.75" customHeight="1" x14ac:dyDescent="0.25">
      <c r="A16" s="210" t="s">
        <v>2</v>
      </c>
      <c r="B16" s="533" t="s">
        <v>373</v>
      </c>
      <c r="C16" s="534"/>
      <c r="D16" s="534"/>
      <c r="E16" s="534"/>
      <c r="F16" s="534"/>
      <c r="G16" s="534"/>
      <c r="H16" s="534"/>
      <c r="I16" s="534"/>
      <c r="J16" s="535"/>
    </row>
    <row r="17" spans="1:13" ht="22.5" customHeight="1" x14ac:dyDescent="0.25">
      <c r="A17" s="211"/>
      <c r="B17" s="213" t="s">
        <v>374</v>
      </c>
      <c r="C17" s="210"/>
      <c r="D17" s="210"/>
      <c r="E17" s="210"/>
      <c r="F17" s="213" t="s">
        <v>11</v>
      </c>
      <c r="G17" s="214">
        <f>SUM(H17:J17)</f>
        <v>2899.7624000000001</v>
      </c>
      <c r="H17" s="214">
        <f>H18</f>
        <v>799.76240000000007</v>
      </c>
      <c r="I17" s="214">
        <f>I18</f>
        <v>2100</v>
      </c>
      <c r="J17" s="210">
        <f>J20</f>
        <v>0</v>
      </c>
    </row>
    <row r="18" spans="1:13" ht="46.5" customHeight="1" x14ac:dyDescent="0.25">
      <c r="A18" s="240"/>
      <c r="B18" s="241" t="s">
        <v>376</v>
      </c>
      <c r="C18" s="239"/>
      <c r="D18" s="214">
        <f>I18</f>
        <v>2100</v>
      </c>
      <c r="E18" s="239" t="s">
        <v>5</v>
      </c>
      <c r="F18" s="241" t="s">
        <v>375</v>
      </c>
      <c r="G18" s="214">
        <f>SUM(H18:J18)</f>
        <v>2899.7624000000001</v>
      </c>
      <c r="H18" s="214">
        <f>'Прил 7 Перечень мероприятий'!G52</f>
        <v>799.76240000000007</v>
      </c>
      <c r="I18" s="214">
        <v>2100</v>
      </c>
      <c r="J18" s="239">
        <v>0</v>
      </c>
    </row>
    <row r="19" spans="1:13" ht="22.5" customHeight="1" x14ac:dyDescent="0.25">
      <c r="A19" s="240"/>
      <c r="B19" s="241" t="s">
        <v>413</v>
      </c>
      <c r="C19" s="239"/>
      <c r="D19" s="239"/>
      <c r="E19" s="239"/>
      <c r="F19" s="241" t="s">
        <v>11</v>
      </c>
      <c r="G19" s="214">
        <f>SUM(H19:J19)</f>
        <v>5343.2807999999995</v>
      </c>
      <c r="H19" s="214">
        <f t="shared" ref="H19:J19" si="0">H22</f>
        <v>0</v>
      </c>
      <c r="I19" s="214">
        <f>I20</f>
        <v>5343.2807999999995</v>
      </c>
      <c r="J19" s="239">
        <f t="shared" si="0"/>
        <v>0</v>
      </c>
    </row>
    <row r="20" spans="1:13" ht="70.5" customHeight="1" x14ac:dyDescent="0.25">
      <c r="A20" s="211"/>
      <c r="B20" s="213" t="s">
        <v>420</v>
      </c>
      <c r="C20" s="210"/>
      <c r="D20" s="214">
        <f>I20</f>
        <v>5343.2807999999995</v>
      </c>
      <c r="E20" s="210" t="s">
        <v>5</v>
      </c>
      <c r="F20" s="213" t="s">
        <v>375</v>
      </c>
      <c r="G20" s="214">
        <v>0</v>
      </c>
      <c r="H20" s="214">
        <v>0</v>
      </c>
      <c r="I20" s="214">
        <f>5343280.8/1000</f>
        <v>5343.2807999999995</v>
      </c>
      <c r="J20" s="210">
        <v>0</v>
      </c>
      <c r="M20" s="246"/>
    </row>
    <row r="21" spans="1:13" ht="24.75" customHeight="1" x14ac:dyDescent="0.25">
      <c r="A21" s="210"/>
      <c r="B21" s="213" t="s">
        <v>377</v>
      </c>
      <c r="C21" s="213"/>
      <c r="D21" s="214">
        <f>D18+D20</f>
        <v>7443.2807999999995</v>
      </c>
      <c r="E21" s="213"/>
      <c r="F21" s="213"/>
      <c r="G21" s="214">
        <f>SUM(H21:J21)</f>
        <v>8243.0432000000001</v>
      </c>
      <c r="H21" s="214">
        <f>H17</f>
        <v>799.76240000000007</v>
      </c>
      <c r="I21" s="214">
        <f>I17+I19</f>
        <v>7443.2807999999995</v>
      </c>
      <c r="J21" s="214">
        <f>J17</f>
        <v>0</v>
      </c>
    </row>
  </sheetData>
  <mergeCells count="15">
    <mergeCell ref="A7:J7"/>
    <mergeCell ref="A5:J5"/>
    <mergeCell ref="A1:J1"/>
    <mergeCell ref="A2:J2"/>
    <mergeCell ref="A3:J3"/>
    <mergeCell ref="A4:J4"/>
    <mergeCell ref="A6:J6"/>
    <mergeCell ref="B16:J16"/>
    <mergeCell ref="F13:F14"/>
    <mergeCell ref="G13:J13"/>
    <mergeCell ref="A13:A14"/>
    <mergeCell ref="B13:B14"/>
    <mergeCell ref="C13:C14"/>
    <mergeCell ref="D13:D14"/>
    <mergeCell ref="E13:E14"/>
  </mergeCells>
  <pageMargins left="0.51181102362204722" right="0.5118110236220472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5</vt:i4>
      </vt:variant>
    </vt:vector>
  </HeadingPairs>
  <TitlesOfParts>
    <vt:vector size="17" baseType="lpstr">
      <vt:lpstr>Паспорт программы Прил 1</vt:lpstr>
      <vt:lpstr>Прил 2 Паспорт подпр СоЗд усл 1</vt:lpstr>
      <vt:lpstr>Прил 3 пасп подпр СШ 2</vt:lpstr>
      <vt:lpstr>Прил 4 пасп подпр Обесп 3</vt:lpstr>
      <vt:lpstr>Прил 5 Планируемые результаты</vt:lpstr>
      <vt:lpstr>Прил 6 методика расчета</vt:lpstr>
      <vt:lpstr>Прил 7 Перечень мероприятий</vt:lpstr>
      <vt:lpstr>Прил 8 Обоснов фин ресурсов</vt:lpstr>
      <vt:lpstr>Прил 9 Адрес. пер. кап.рем</vt:lpstr>
      <vt:lpstr>Прил 10 Адрес.пер. стр.рек.</vt:lpstr>
      <vt:lpstr>Прил 11 Адрес.пер. стр.рек.</vt:lpstr>
      <vt:lpstr>Прил 12 Адрес.пер. стр.рек.</vt:lpstr>
      <vt:lpstr>'Паспорт программы Прил 1'!Область_печати</vt:lpstr>
      <vt:lpstr>'Прил 5 Планируемые результаты'!Область_печати</vt:lpstr>
      <vt:lpstr>'Прил 6 методика расчета'!Область_печати</vt:lpstr>
      <vt:lpstr>'Прил 7 Перечень мероприятий'!Область_печати</vt:lpstr>
      <vt:lpstr>'Прил 8 Обоснов фин ресурсов'!Область_печати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2019-12-23T09:31:22Z</dcterms:modified>
</cp:coreProperties>
</file>