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8535" windowHeight="1305" activeTab="6"/>
  </bookViews>
  <sheets>
    <sheet name="доходы" sheetId="6" r:id="rId1"/>
    <sheet name="ведомственная" sheetId="1" r:id="rId2"/>
    <sheet name="ассигнования" sheetId="2" r:id="rId3"/>
    <sheet name="программы" sheetId="3" r:id="rId4"/>
    <sheet name="трансферты" sheetId="4" r:id="rId5"/>
    <sheet name="обязательства" sheetId="5" r:id="rId6"/>
    <sheet name="оплата труда" sheetId="7" r:id="rId7"/>
  </sheets>
  <calcPr calcId="124519"/>
</workbook>
</file>

<file path=xl/calcChain.xml><?xml version="1.0" encoding="utf-8"?>
<calcChain xmlns="http://schemas.openxmlformats.org/spreadsheetml/2006/main">
  <c r="E16" i="7"/>
  <c r="E14" l="1"/>
  <c r="D14"/>
  <c r="C12" i="4" l="1"/>
  <c r="B12"/>
  <c r="C11"/>
  <c r="B11"/>
  <c r="B13" l="1"/>
  <c r="H153" i="3"/>
  <c r="I153" s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4"/>
  <c r="I155"/>
  <c r="I156"/>
  <c r="I157"/>
  <c r="I158"/>
  <c r="H127"/>
  <c r="H126"/>
  <c r="H124"/>
  <c r="H122"/>
  <c r="H121"/>
  <c r="H106"/>
  <c r="H105"/>
  <c r="H113"/>
  <c r="H103"/>
  <c r="H101"/>
  <c r="H100"/>
  <c r="H99"/>
  <c r="H91"/>
  <c r="H84"/>
  <c r="H77"/>
  <c r="H70"/>
  <c r="H55"/>
  <c r="H48"/>
  <c r="H47"/>
  <c r="H42"/>
  <c r="H41"/>
  <c r="H35"/>
  <c r="H34"/>
  <c r="H32"/>
  <c r="H30"/>
  <c r="H28"/>
  <c r="H150"/>
  <c r="H146"/>
  <c r="H139"/>
  <c r="H134"/>
  <c r="H62"/>
  <c r="H158"/>
  <c r="H20"/>
  <c r="H13"/>
  <c r="G158" l="1"/>
  <c r="H157"/>
  <c r="H155"/>
  <c r="H154" s="1"/>
  <c r="H152"/>
  <c r="I152" s="1"/>
  <c r="H149"/>
  <c r="H148"/>
  <c r="H147" s="1"/>
  <c r="H145"/>
  <c r="H144"/>
  <c r="H143" s="1"/>
  <c r="H142" s="1"/>
  <c r="H138"/>
  <c r="H137" s="1"/>
  <c r="H136" s="1"/>
  <c r="H135" s="1"/>
  <c r="H133"/>
  <c r="H132"/>
  <c r="H131"/>
  <c r="H130" s="1"/>
  <c r="H125"/>
  <c r="H123"/>
  <c r="H120"/>
  <c r="H112"/>
  <c r="H111" s="1"/>
  <c r="H110" s="1"/>
  <c r="H109" s="1"/>
  <c r="H108" s="1"/>
  <c r="H107" s="1"/>
  <c r="H104"/>
  <c r="H102"/>
  <c r="H98"/>
  <c r="H90"/>
  <c r="H89" s="1"/>
  <c r="H88" s="1"/>
  <c r="H87" s="1"/>
  <c r="H86" s="1"/>
  <c r="H85" s="1"/>
  <c r="H83"/>
  <c r="H82"/>
  <c r="H81" s="1"/>
  <c r="H80" s="1"/>
  <c r="H79" s="1"/>
  <c r="H78" s="1"/>
  <c r="H76"/>
  <c r="H75" s="1"/>
  <c r="H74" s="1"/>
  <c r="H73" s="1"/>
  <c r="H72" s="1"/>
  <c r="H71" s="1"/>
  <c r="H69"/>
  <c r="H68"/>
  <c r="H67" s="1"/>
  <c r="H66" s="1"/>
  <c r="H65" s="1"/>
  <c r="H64" s="1"/>
  <c r="H61"/>
  <c r="H60"/>
  <c r="H59" s="1"/>
  <c r="H58" s="1"/>
  <c r="H57" s="1"/>
  <c r="H56" s="1"/>
  <c r="H54"/>
  <c r="H53" s="1"/>
  <c r="H52" s="1"/>
  <c r="H51" s="1"/>
  <c r="H50" s="1"/>
  <c r="H49" s="1"/>
  <c r="H46"/>
  <c r="H45" s="1"/>
  <c r="H44" s="1"/>
  <c r="H43" s="1"/>
  <c r="H40"/>
  <c r="H39"/>
  <c r="H38"/>
  <c r="H37" s="1"/>
  <c r="H33"/>
  <c r="H31"/>
  <c r="H27"/>
  <c r="H19"/>
  <c r="H18" s="1"/>
  <c r="H17" s="1"/>
  <c r="H16" s="1"/>
  <c r="H15" s="1"/>
  <c r="H14" s="1"/>
  <c r="H12"/>
  <c r="H11"/>
  <c r="G156"/>
  <c r="G153"/>
  <c r="G150"/>
  <c r="G146"/>
  <c r="G145" s="1"/>
  <c r="G144" s="1"/>
  <c r="G143" s="1"/>
  <c r="G142" s="1"/>
  <c r="G139"/>
  <c r="G134"/>
  <c r="G127"/>
  <c r="G126"/>
  <c r="G124"/>
  <c r="G122"/>
  <c r="G121"/>
  <c r="G113"/>
  <c r="G106"/>
  <c r="G105"/>
  <c r="G103"/>
  <c r="G101"/>
  <c r="G100"/>
  <c r="G98" s="1"/>
  <c r="G99"/>
  <c r="G91"/>
  <c r="G90" s="1"/>
  <c r="G89" s="1"/>
  <c r="G88" s="1"/>
  <c r="G87" s="1"/>
  <c r="G86" s="1"/>
  <c r="G85" s="1"/>
  <c r="G84"/>
  <c r="G77"/>
  <c r="G70"/>
  <c r="G62"/>
  <c r="G55"/>
  <c r="G48"/>
  <c r="G46" s="1"/>
  <c r="G45" s="1"/>
  <c r="G44" s="1"/>
  <c r="G43" s="1"/>
  <c r="G47"/>
  <c r="G42"/>
  <c r="G41"/>
  <c r="G35"/>
  <c r="G34"/>
  <c r="G32"/>
  <c r="G30"/>
  <c r="G29"/>
  <c r="G28"/>
  <c r="G20"/>
  <c r="G13"/>
  <c r="G157"/>
  <c r="G155"/>
  <c r="G152"/>
  <c r="G151" s="1"/>
  <c r="G149"/>
  <c r="G148" s="1"/>
  <c r="G147" s="1"/>
  <c r="G138"/>
  <c r="G137" s="1"/>
  <c r="G136" s="1"/>
  <c r="G135" s="1"/>
  <c r="G133"/>
  <c r="G132" s="1"/>
  <c r="G131" s="1"/>
  <c r="G130" s="1"/>
  <c r="G125"/>
  <c r="G123"/>
  <c r="G120"/>
  <c r="G112"/>
  <c r="G111"/>
  <c r="G110" s="1"/>
  <c r="G109" s="1"/>
  <c r="G108" s="1"/>
  <c r="G107" s="1"/>
  <c r="G104"/>
  <c r="G102"/>
  <c r="G83"/>
  <c r="G82" s="1"/>
  <c r="G81" s="1"/>
  <c r="G80" s="1"/>
  <c r="G79" s="1"/>
  <c r="G78" s="1"/>
  <c r="G76"/>
  <c r="G75"/>
  <c r="G74" s="1"/>
  <c r="G73" s="1"/>
  <c r="G72" s="1"/>
  <c r="G71" s="1"/>
  <c r="G69"/>
  <c r="G68" s="1"/>
  <c r="G67" s="1"/>
  <c r="G66" s="1"/>
  <c r="G65" s="1"/>
  <c r="G64" s="1"/>
  <c r="G61"/>
  <c r="G60" s="1"/>
  <c r="G59" s="1"/>
  <c r="G58" s="1"/>
  <c r="G57" s="1"/>
  <c r="G56" s="1"/>
  <c r="G54"/>
  <c r="G53"/>
  <c r="G52" s="1"/>
  <c r="G51" s="1"/>
  <c r="G50" s="1"/>
  <c r="G49" s="1"/>
  <c r="G40"/>
  <c r="G39" s="1"/>
  <c r="G38" s="1"/>
  <c r="G37" s="1"/>
  <c r="G33"/>
  <c r="G31"/>
  <c r="G27"/>
  <c r="G19"/>
  <c r="G18"/>
  <c r="G17" s="1"/>
  <c r="G16" s="1"/>
  <c r="G15" s="1"/>
  <c r="G14" s="1"/>
  <c r="G12"/>
  <c r="G11" s="1"/>
  <c r="F237" i="2"/>
  <c r="F236"/>
  <c r="F234"/>
  <c r="F232"/>
  <c r="F231"/>
  <c r="F223"/>
  <c r="F216"/>
  <c r="F215"/>
  <c r="F213"/>
  <c r="F211"/>
  <c r="F210"/>
  <c r="F209"/>
  <c r="F201"/>
  <c r="F195"/>
  <c r="F192"/>
  <c r="F190"/>
  <c r="F189"/>
  <c r="F184"/>
  <c r="F183"/>
  <c r="F180"/>
  <c r="F175"/>
  <c r="F174"/>
  <c r="F171"/>
  <c r="F170"/>
  <c r="F166"/>
  <c r="F165"/>
  <c r="F163"/>
  <c r="F161"/>
  <c r="F160"/>
  <c r="F159"/>
  <c r="H151" i="3" l="1"/>
  <c r="I151" s="1"/>
  <c r="H119"/>
  <c r="H118" s="1"/>
  <c r="H117" s="1"/>
  <c r="H116" s="1"/>
  <c r="H115" s="1"/>
  <c r="H114" s="1"/>
  <c r="H97"/>
  <c r="H96" s="1"/>
  <c r="H95" s="1"/>
  <c r="H94" s="1"/>
  <c r="H93" s="1"/>
  <c r="H92" s="1"/>
  <c r="H26"/>
  <c r="H25" s="1"/>
  <c r="H24" s="1"/>
  <c r="H23" s="1"/>
  <c r="H129"/>
  <c r="H128" s="1"/>
  <c r="G154"/>
  <c r="H141"/>
  <c r="H140" s="1"/>
  <c r="H63"/>
  <c r="H36"/>
  <c r="G119"/>
  <c r="G118" s="1"/>
  <c r="G117" s="1"/>
  <c r="G116" s="1"/>
  <c r="G115" s="1"/>
  <c r="G114" s="1"/>
  <c r="G97"/>
  <c r="G96" s="1"/>
  <c r="G95" s="1"/>
  <c r="G94" s="1"/>
  <c r="G93" s="1"/>
  <c r="G36"/>
  <c r="G26"/>
  <c r="G25" s="1"/>
  <c r="G24" s="1"/>
  <c r="G23" s="1"/>
  <c r="G63"/>
  <c r="G92"/>
  <c r="G129"/>
  <c r="G128" s="1"/>
  <c r="G22"/>
  <c r="G21" s="1"/>
  <c r="G141"/>
  <c r="G140" s="1"/>
  <c r="F151" i="2"/>
  <c r="F150" s="1"/>
  <c r="F148"/>
  <c r="F143"/>
  <c r="F142"/>
  <c r="F138"/>
  <c r="F133"/>
  <c r="H133" s="1"/>
  <c r="F128"/>
  <c r="F123"/>
  <c r="F116"/>
  <c r="F113"/>
  <c r="F112" s="1"/>
  <c r="F108"/>
  <c r="F101"/>
  <c r="F98"/>
  <c r="F93"/>
  <c r="F87"/>
  <c r="F80"/>
  <c r="F79"/>
  <c r="F73"/>
  <c r="F70"/>
  <c r="F67"/>
  <c r="F64"/>
  <c r="F61"/>
  <c r="F58"/>
  <c r="F53"/>
  <c r="F49"/>
  <c r="F46"/>
  <c r="F45"/>
  <c r="F43"/>
  <c r="H43" s="1"/>
  <c r="F41"/>
  <c r="H41" s="1"/>
  <c r="F40"/>
  <c r="F39"/>
  <c r="F34"/>
  <c r="F31"/>
  <c r="F30" s="1"/>
  <c r="H30" s="1"/>
  <c r="F29"/>
  <c r="F26" s="1"/>
  <c r="H26" s="1"/>
  <c r="F28"/>
  <c r="F27"/>
  <c r="F24"/>
  <c r="F23"/>
  <c r="H23" s="1"/>
  <c r="F18"/>
  <c r="F17"/>
  <c r="F16"/>
  <c r="H16" s="1"/>
  <c r="H17"/>
  <c r="H18"/>
  <c r="H24"/>
  <c r="H27"/>
  <c r="H28"/>
  <c r="H32"/>
  <c r="H33"/>
  <c r="H34"/>
  <c r="H39"/>
  <c r="H40"/>
  <c r="H45"/>
  <c r="H46"/>
  <c r="H47"/>
  <c r="H48"/>
  <c r="H49"/>
  <c r="H52"/>
  <c r="H53"/>
  <c r="H57"/>
  <c r="H58"/>
  <c r="H59"/>
  <c r="H61"/>
  <c r="H64"/>
  <c r="H66"/>
  <c r="H67"/>
  <c r="H70"/>
  <c r="H73"/>
  <c r="H77"/>
  <c r="H78"/>
  <c r="H79"/>
  <c r="H80"/>
  <c r="H86"/>
  <c r="H87"/>
  <c r="H89"/>
  <c r="H90"/>
  <c r="H91"/>
  <c r="H93"/>
  <c r="H96"/>
  <c r="H98"/>
  <c r="H101"/>
  <c r="H105"/>
  <c r="H106"/>
  <c r="H107"/>
  <c r="H108"/>
  <c r="H113"/>
  <c r="H115"/>
  <c r="H116"/>
  <c r="H120"/>
  <c r="H123"/>
  <c r="H124"/>
  <c r="H127"/>
  <c r="H128"/>
  <c r="H136"/>
  <c r="H137"/>
  <c r="H138"/>
  <c r="H142"/>
  <c r="H143"/>
  <c r="H148"/>
  <c r="H151"/>
  <c r="H158"/>
  <c r="H159"/>
  <c r="H160"/>
  <c r="H161"/>
  <c r="H163"/>
  <c r="H165"/>
  <c r="H166"/>
  <c r="H170"/>
  <c r="H171"/>
  <c r="H174"/>
  <c r="H175"/>
  <c r="H177"/>
  <c r="H180"/>
  <c r="H183"/>
  <c r="H184"/>
  <c r="H189"/>
  <c r="H190"/>
  <c r="H192"/>
  <c r="H194"/>
  <c r="H195"/>
  <c r="H197"/>
  <c r="H198"/>
  <c r="H201"/>
  <c r="H209"/>
  <c r="H210"/>
  <c r="H211"/>
  <c r="H213"/>
  <c r="H215"/>
  <c r="H216"/>
  <c r="H223"/>
  <c r="H231"/>
  <c r="H232"/>
  <c r="H233"/>
  <c r="H234"/>
  <c r="H236"/>
  <c r="H237"/>
  <c r="G237"/>
  <c r="G236"/>
  <c r="G234"/>
  <c r="G232"/>
  <c r="G231"/>
  <c r="G223"/>
  <c r="G216"/>
  <c r="G215"/>
  <c r="G213"/>
  <c r="G211"/>
  <c r="G210"/>
  <c r="G209"/>
  <c r="G201"/>
  <c r="G195"/>
  <c r="G192"/>
  <c r="G191" s="1"/>
  <c r="G190"/>
  <c r="G189"/>
  <c r="G184"/>
  <c r="G183"/>
  <c r="G180"/>
  <c r="G175"/>
  <c r="G174"/>
  <c r="G171"/>
  <c r="G170"/>
  <c r="G166"/>
  <c r="G165"/>
  <c r="G163"/>
  <c r="G161"/>
  <c r="G159"/>
  <c r="G235"/>
  <c r="G233"/>
  <c r="G230"/>
  <c r="G222"/>
  <c r="G221" s="1"/>
  <c r="G220" s="1"/>
  <c r="G219" s="1"/>
  <c r="G218" s="1"/>
  <c r="G217" s="1"/>
  <c r="G214"/>
  <c r="G212"/>
  <c r="G208"/>
  <c r="G200"/>
  <c r="G199" s="1"/>
  <c r="G198" s="1"/>
  <c r="G197" s="1"/>
  <c r="G196" s="1"/>
  <c r="G193"/>
  <c r="G188"/>
  <c r="G182"/>
  <c r="G181"/>
  <c r="G179"/>
  <c r="G178" s="1"/>
  <c r="G177" s="1"/>
  <c r="G176" s="1"/>
  <c r="G173"/>
  <c r="G172" s="1"/>
  <c r="G169"/>
  <c r="G168" s="1"/>
  <c r="G164"/>
  <c r="G162"/>
  <c r="G158"/>
  <c r="G151"/>
  <c r="G148"/>
  <c r="G143"/>
  <c r="G142"/>
  <c r="G138"/>
  <c r="G133"/>
  <c r="G128"/>
  <c r="G123"/>
  <c r="G150"/>
  <c r="G149" s="1"/>
  <c r="G147"/>
  <c r="G146" s="1"/>
  <c r="G141"/>
  <c r="G140" s="1"/>
  <c r="G139" s="1"/>
  <c r="G137"/>
  <c r="G136"/>
  <c r="G135"/>
  <c r="G134"/>
  <c r="G132"/>
  <c r="G131" s="1"/>
  <c r="G130" s="1"/>
  <c r="G129" s="1"/>
  <c r="G127"/>
  <c r="G126" s="1"/>
  <c r="G125" s="1"/>
  <c r="G124" s="1"/>
  <c r="G122"/>
  <c r="G121" s="1"/>
  <c r="G120" s="1"/>
  <c r="G119" s="1"/>
  <c r="G116"/>
  <c r="G113"/>
  <c r="G108"/>
  <c r="G115"/>
  <c r="G114" s="1"/>
  <c r="G112"/>
  <c r="G111" s="1"/>
  <c r="G107"/>
  <c r="G106" s="1"/>
  <c r="G105" s="1"/>
  <c r="G104" s="1"/>
  <c r="G101"/>
  <c r="G98"/>
  <c r="G100"/>
  <c r="G99" s="1"/>
  <c r="G97"/>
  <c r="G96" s="1"/>
  <c r="G95" s="1"/>
  <c r="G93"/>
  <c r="G92"/>
  <c r="G91" s="1"/>
  <c r="G90" s="1"/>
  <c r="G89" s="1"/>
  <c r="G87"/>
  <c r="G86"/>
  <c r="G85" s="1"/>
  <c r="G84" s="1"/>
  <c r="G83" s="1"/>
  <c r="G82" s="1"/>
  <c r="G81" s="1"/>
  <c r="G80"/>
  <c r="G79"/>
  <c r="G78"/>
  <c r="G77"/>
  <c r="G76" s="1"/>
  <c r="G75" s="1"/>
  <c r="G74" s="1"/>
  <c r="G70"/>
  <c r="G66"/>
  <c r="G67"/>
  <c r="G64"/>
  <c r="G61"/>
  <c r="G58"/>
  <c r="G72"/>
  <c r="G71" s="1"/>
  <c r="G69"/>
  <c r="G68" s="1"/>
  <c r="G65"/>
  <c r="G63"/>
  <c r="G62" s="1"/>
  <c r="G60"/>
  <c r="G59" s="1"/>
  <c r="G57"/>
  <c r="G56" s="1"/>
  <c r="G55"/>
  <c r="G53"/>
  <c r="G52"/>
  <c r="G51"/>
  <c r="G49"/>
  <c r="G48" s="1"/>
  <c r="G47" s="1"/>
  <c r="G46"/>
  <c r="G44" s="1"/>
  <c r="G45"/>
  <c r="G43"/>
  <c r="G41"/>
  <c r="G40"/>
  <c r="G39"/>
  <c r="G38" s="1"/>
  <c r="G50"/>
  <c r="G42"/>
  <c r="G34"/>
  <c r="G31"/>
  <c r="G29"/>
  <c r="G28"/>
  <c r="G27"/>
  <c r="G26" s="1"/>
  <c r="G24"/>
  <c r="G23"/>
  <c r="G32"/>
  <c r="G30"/>
  <c r="G22"/>
  <c r="G21"/>
  <c r="G18"/>
  <c r="G17"/>
  <c r="G16"/>
  <c r="G15"/>
  <c r="G14" s="1"/>
  <c r="G13" s="1"/>
  <c r="G12" s="1"/>
  <c r="F235"/>
  <c r="H235" s="1"/>
  <c r="F233"/>
  <c r="F230"/>
  <c r="F229" s="1"/>
  <c r="F228" s="1"/>
  <c r="F227" s="1"/>
  <c r="F226" s="1"/>
  <c r="F225" s="1"/>
  <c r="F224" s="1"/>
  <c r="H224" s="1"/>
  <c r="F222"/>
  <c r="H222" s="1"/>
  <c r="F221"/>
  <c r="H221" s="1"/>
  <c r="F220"/>
  <c r="F219" s="1"/>
  <c r="F214"/>
  <c r="H214" s="1"/>
  <c r="F212"/>
  <c r="H212" s="1"/>
  <c r="F208"/>
  <c r="F200"/>
  <c r="F199" s="1"/>
  <c r="F198" s="1"/>
  <c r="F197" s="1"/>
  <c r="F196" s="1"/>
  <c r="H196" s="1"/>
  <c r="F193"/>
  <c r="H193" s="1"/>
  <c r="F191"/>
  <c r="H191" s="1"/>
  <c r="F188"/>
  <c r="F182"/>
  <c r="H182" s="1"/>
  <c r="F181"/>
  <c r="H181" s="1"/>
  <c r="F179"/>
  <c r="F178" s="1"/>
  <c r="F177" s="1"/>
  <c r="F176" s="1"/>
  <c r="H176" s="1"/>
  <c r="F173"/>
  <c r="F172" s="1"/>
  <c r="H172" s="1"/>
  <c r="F169"/>
  <c r="H169" s="1"/>
  <c r="F168"/>
  <c r="H168" s="1"/>
  <c r="F164"/>
  <c r="H164" s="1"/>
  <c r="F162"/>
  <c r="F158"/>
  <c r="F147"/>
  <c r="F146" s="1"/>
  <c r="F141"/>
  <c r="F140" s="1"/>
  <c r="F139" s="1"/>
  <c r="H139" s="1"/>
  <c r="F137"/>
  <c r="F136"/>
  <c r="F135"/>
  <c r="H135" s="1"/>
  <c r="F134"/>
  <c r="H134" s="1"/>
  <c r="F132"/>
  <c r="F131" s="1"/>
  <c r="F127"/>
  <c r="F126"/>
  <c r="F125" s="1"/>
  <c r="F124" s="1"/>
  <c r="F122"/>
  <c r="F121" s="1"/>
  <c r="F120" s="1"/>
  <c r="F119" s="1"/>
  <c r="H119" s="1"/>
  <c r="F115"/>
  <c r="F114"/>
  <c r="H114" s="1"/>
  <c r="F107"/>
  <c r="F106" s="1"/>
  <c r="F105" s="1"/>
  <c r="F104" s="1"/>
  <c r="F100"/>
  <c r="H100" s="1"/>
  <c r="F99"/>
  <c r="H99" s="1"/>
  <c r="F97"/>
  <c r="F96" s="1"/>
  <c r="F95" s="1"/>
  <c r="F92"/>
  <c r="F91" s="1"/>
  <c r="F90" s="1"/>
  <c r="F89" s="1"/>
  <c r="F86"/>
  <c r="F85"/>
  <c r="H85" s="1"/>
  <c r="F84"/>
  <c r="F83" s="1"/>
  <c r="F82" s="1"/>
  <c r="F81" s="1"/>
  <c r="H81" s="1"/>
  <c r="F78"/>
  <c r="F77" s="1"/>
  <c r="F76" s="1"/>
  <c r="F75" s="1"/>
  <c r="F74" s="1"/>
  <c r="H74" s="1"/>
  <c r="F72"/>
  <c r="F71" s="1"/>
  <c r="H71" s="1"/>
  <c r="F69"/>
  <c r="F68" s="1"/>
  <c r="H68" s="1"/>
  <c r="F66"/>
  <c r="F65"/>
  <c r="H65" s="1"/>
  <c r="F63"/>
  <c r="F62" s="1"/>
  <c r="H62" s="1"/>
  <c r="F60"/>
  <c r="H60" s="1"/>
  <c r="F59"/>
  <c r="F57"/>
  <c r="F56"/>
  <c r="H56" s="1"/>
  <c r="F55"/>
  <c r="F52"/>
  <c r="F51"/>
  <c r="F50" s="1"/>
  <c r="H50" s="1"/>
  <c r="F48"/>
  <c r="F47" s="1"/>
  <c r="F44"/>
  <c r="H44" s="1"/>
  <c r="F38"/>
  <c r="H38" s="1"/>
  <c r="F32"/>
  <c r="D39" i="6"/>
  <c r="D37"/>
  <c r="D36"/>
  <c r="D35"/>
  <c r="D32"/>
  <c r="D30"/>
  <c r="D27"/>
  <c r="D25"/>
  <c r="D24"/>
  <c r="D22"/>
  <c r="D21"/>
  <c r="D19"/>
  <c r="D17"/>
  <c r="D16"/>
  <c r="D14"/>
  <c r="D12"/>
  <c r="C39"/>
  <c r="C37"/>
  <c r="C36"/>
  <c r="C35"/>
  <c r="C32"/>
  <c r="C30"/>
  <c r="C27"/>
  <c r="C25"/>
  <c r="C24"/>
  <c r="C22"/>
  <c r="C21"/>
  <c r="C19"/>
  <c r="C17"/>
  <c r="C16"/>
  <c r="C14"/>
  <c r="C12"/>
  <c r="H237" i="1"/>
  <c r="H234"/>
  <c r="H232"/>
  <c r="H231"/>
  <c r="H230"/>
  <c r="H227"/>
  <c r="H226"/>
  <c r="H220"/>
  <c r="H219"/>
  <c r="H217"/>
  <c r="H215"/>
  <c r="H214"/>
  <c r="H206"/>
  <c r="H199"/>
  <c r="H198"/>
  <c r="H196"/>
  <c r="H194"/>
  <c r="H193"/>
  <c r="H192"/>
  <c r="H184"/>
  <c r="H178"/>
  <c r="H175"/>
  <c r="H173"/>
  <c r="H172"/>
  <c r="H167"/>
  <c r="H166"/>
  <c r="H163"/>
  <c r="H158"/>
  <c r="H157"/>
  <c r="H154"/>
  <c r="H153"/>
  <c r="H149"/>
  <c r="H148"/>
  <c r="H146"/>
  <c r="H144"/>
  <c r="H142"/>
  <c r="H134"/>
  <c r="H131"/>
  <c r="H126"/>
  <c r="H125"/>
  <c r="H121"/>
  <c r="H116"/>
  <c r="H111"/>
  <c r="H106"/>
  <c r="H99"/>
  <c r="H96"/>
  <c r="H91"/>
  <c r="H84"/>
  <c r="H81"/>
  <c r="H76"/>
  <c r="H70"/>
  <c r="H63"/>
  <c r="H62"/>
  <c r="H53"/>
  <c r="H51"/>
  <c r="H48"/>
  <c r="H45"/>
  <c r="H42"/>
  <c r="H37"/>
  <c r="H33"/>
  <c r="H30"/>
  <c r="H29"/>
  <c r="H27"/>
  <c r="H25"/>
  <c r="H24"/>
  <c r="H23"/>
  <c r="G237"/>
  <c r="G234"/>
  <c r="G232"/>
  <c r="G231"/>
  <c r="G230"/>
  <c r="G227"/>
  <c r="G226"/>
  <c r="G220"/>
  <c r="G219"/>
  <c r="G217"/>
  <c r="G215"/>
  <c r="G214"/>
  <c r="G206"/>
  <c r="G199"/>
  <c r="G198"/>
  <c r="G196"/>
  <c r="G194"/>
  <c r="G193"/>
  <c r="G192"/>
  <c r="G184"/>
  <c r="G178"/>
  <c r="G175"/>
  <c r="G173"/>
  <c r="G172"/>
  <c r="G167"/>
  <c r="G166"/>
  <c r="G163"/>
  <c r="G158"/>
  <c r="G157"/>
  <c r="G154"/>
  <c r="G153"/>
  <c r="G149"/>
  <c r="G148"/>
  <c r="G146"/>
  <c r="G144"/>
  <c r="G143"/>
  <c r="G142"/>
  <c r="G134"/>
  <c r="G131"/>
  <c r="G126"/>
  <c r="G125"/>
  <c r="G121"/>
  <c r="G116"/>
  <c r="G111"/>
  <c r="G106"/>
  <c r="G99"/>
  <c r="G96"/>
  <c r="G91"/>
  <c r="G81"/>
  <c r="G84"/>
  <c r="G76"/>
  <c r="G70"/>
  <c r="G63"/>
  <c r="G62"/>
  <c r="G56"/>
  <c r="G53"/>
  <c r="G51"/>
  <c r="G48"/>
  <c r="G45"/>
  <c r="G42"/>
  <c r="G37"/>
  <c r="G33"/>
  <c r="G30"/>
  <c r="G29"/>
  <c r="G27"/>
  <c r="G25"/>
  <c r="G24"/>
  <c r="G23"/>
  <c r="H18"/>
  <c r="H17"/>
  <c r="H16"/>
  <c r="G18"/>
  <c r="G17"/>
  <c r="G16"/>
  <c r="H22" i="3" l="1"/>
  <c r="H21" s="1"/>
  <c r="H10"/>
  <c r="I10" s="1"/>
  <c r="G10"/>
  <c r="H228" i="2"/>
  <c r="H230"/>
  <c r="H226"/>
  <c r="H229"/>
  <c r="H225"/>
  <c r="H227"/>
  <c r="F218"/>
  <c r="H219"/>
  <c r="H220"/>
  <c r="F207"/>
  <c r="F206" s="1"/>
  <c r="F205" s="1"/>
  <c r="F204" s="1"/>
  <c r="F203" s="1"/>
  <c r="H203" s="1"/>
  <c r="H208"/>
  <c r="H207"/>
  <c r="H206"/>
  <c r="H200"/>
  <c r="H199"/>
  <c r="F187"/>
  <c r="F186" s="1"/>
  <c r="F185" s="1"/>
  <c r="H185" s="1"/>
  <c r="H188"/>
  <c r="H179"/>
  <c r="H178"/>
  <c r="H173"/>
  <c r="F167"/>
  <c r="H167" s="1"/>
  <c r="F157"/>
  <c r="F156" s="1"/>
  <c r="H156" s="1"/>
  <c r="H162"/>
  <c r="F149"/>
  <c r="H149" s="1"/>
  <c r="H150"/>
  <c r="H146"/>
  <c r="H147"/>
  <c r="H141"/>
  <c r="H140"/>
  <c r="F130"/>
  <c r="H131"/>
  <c r="H132"/>
  <c r="H126"/>
  <c r="H125"/>
  <c r="H122"/>
  <c r="H121"/>
  <c r="F111"/>
  <c r="H112"/>
  <c r="H104"/>
  <c r="F94"/>
  <c r="H94" s="1"/>
  <c r="H95"/>
  <c r="H97"/>
  <c r="H92"/>
  <c r="H83"/>
  <c r="H82"/>
  <c r="H84"/>
  <c r="H76"/>
  <c r="H75"/>
  <c r="H72"/>
  <c r="F54"/>
  <c r="H54" s="1"/>
  <c r="H69"/>
  <c r="H63"/>
  <c r="H55"/>
  <c r="H51"/>
  <c r="F42"/>
  <c r="H42" s="1"/>
  <c r="H31"/>
  <c r="H29"/>
  <c r="F22"/>
  <c r="F15"/>
  <c r="G157"/>
  <c r="G156" s="1"/>
  <c r="G229"/>
  <c r="G228" s="1"/>
  <c r="G227" s="1"/>
  <c r="G226" s="1"/>
  <c r="G225" s="1"/>
  <c r="G224" s="1"/>
  <c r="G207"/>
  <c r="G206" s="1"/>
  <c r="G205" s="1"/>
  <c r="G204" s="1"/>
  <c r="G203" s="1"/>
  <c r="G202" s="1"/>
  <c r="G187"/>
  <c r="G186" s="1"/>
  <c r="G185" s="1"/>
  <c r="G167"/>
  <c r="G155" s="1"/>
  <c r="G154" s="1"/>
  <c r="G153" s="1"/>
  <c r="G145"/>
  <c r="G144" s="1"/>
  <c r="G118"/>
  <c r="G110"/>
  <c r="G109" s="1"/>
  <c r="G103" s="1"/>
  <c r="G94"/>
  <c r="G88" s="1"/>
  <c r="G54"/>
  <c r="G37"/>
  <c r="G36" s="1"/>
  <c r="G35" s="1"/>
  <c r="G25"/>
  <c r="G20" s="1"/>
  <c r="G19" s="1"/>
  <c r="F25"/>
  <c r="H25" s="1"/>
  <c r="F155"/>
  <c r="I16" i="1"/>
  <c r="I17"/>
  <c r="I18"/>
  <c r="I23"/>
  <c r="I24"/>
  <c r="I25"/>
  <c r="I26"/>
  <c r="I27"/>
  <c r="I29"/>
  <c r="I30"/>
  <c r="I32"/>
  <c r="I33"/>
  <c r="I37"/>
  <c r="I42"/>
  <c r="I45"/>
  <c r="I47"/>
  <c r="I48"/>
  <c r="I51"/>
  <c r="I53"/>
  <c r="I56"/>
  <c r="I62"/>
  <c r="I63"/>
  <c r="I70"/>
  <c r="I76"/>
  <c r="I79"/>
  <c r="I81"/>
  <c r="I84"/>
  <c r="I91"/>
  <c r="I96"/>
  <c r="I99"/>
  <c r="I106"/>
  <c r="I111"/>
  <c r="I116"/>
  <c r="I121"/>
  <c r="I125"/>
  <c r="I126"/>
  <c r="I131"/>
  <c r="I134"/>
  <c r="I142"/>
  <c r="I143"/>
  <c r="I144"/>
  <c r="I146"/>
  <c r="I148"/>
  <c r="I149"/>
  <c r="I153"/>
  <c r="I154"/>
  <c r="I157"/>
  <c r="I158"/>
  <c r="I163"/>
  <c r="I166"/>
  <c r="I167"/>
  <c r="I172"/>
  <c r="I173"/>
  <c r="I175"/>
  <c r="I177"/>
  <c r="I178"/>
  <c r="I184"/>
  <c r="I192"/>
  <c r="I193"/>
  <c r="I194"/>
  <c r="I196"/>
  <c r="I198"/>
  <c r="I199"/>
  <c r="I206"/>
  <c r="I214"/>
  <c r="I215"/>
  <c r="I217"/>
  <c r="I219"/>
  <c r="I220"/>
  <c r="I226"/>
  <c r="I227"/>
  <c r="I230"/>
  <c r="I231"/>
  <c r="I232"/>
  <c r="I234"/>
  <c r="I236"/>
  <c r="I237"/>
  <c r="H233"/>
  <c r="I233" s="1"/>
  <c r="H229"/>
  <c r="H228" s="1"/>
  <c r="H225"/>
  <c r="H224" s="1"/>
  <c r="H218"/>
  <c r="H216"/>
  <c r="I216" s="1"/>
  <c r="H213"/>
  <c r="H205"/>
  <c r="H204"/>
  <c r="I204" s="1"/>
  <c r="H203"/>
  <c r="H202" s="1"/>
  <c r="H201" s="1"/>
  <c r="H200" s="1"/>
  <c r="I200" s="1"/>
  <c r="H197"/>
  <c r="H195"/>
  <c r="I195" s="1"/>
  <c r="H191"/>
  <c r="H183"/>
  <c r="H182" s="1"/>
  <c r="H181" s="1"/>
  <c r="H180" s="1"/>
  <c r="H179" s="1"/>
  <c r="H176"/>
  <c r="H174"/>
  <c r="H171"/>
  <c r="H165"/>
  <c r="H164" s="1"/>
  <c r="I164" s="1"/>
  <c r="H162"/>
  <c r="H161" s="1"/>
  <c r="H160" s="1"/>
  <c r="H159" s="1"/>
  <c r="H156"/>
  <c r="H155" s="1"/>
  <c r="H152"/>
  <c r="H151" s="1"/>
  <c r="H147"/>
  <c r="H145"/>
  <c r="I145" s="1"/>
  <c r="H141"/>
  <c r="H133"/>
  <c r="H132"/>
  <c r="H130"/>
  <c r="H129" s="1"/>
  <c r="I129" s="1"/>
  <c r="H124"/>
  <c r="H123"/>
  <c r="H122" s="1"/>
  <c r="H120"/>
  <c r="H119" s="1"/>
  <c r="H118" s="1"/>
  <c r="H117"/>
  <c r="H115"/>
  <c r="H114" s="1"/>
  <c r="H113" s="1"/>
  <c r="H112" s="1"/>
  <c r="H110"/>
  <c r="H109"/>
  <c r="H108" s="1"/>
  <c r="H107" s="1"/>
  <c r="H105"/>
  <c r="H104"/>
  <c r="H103" s="1"/>
  <c r="H102" s="1"/>
  <c r="H98"/>
  <c r="H97"/>
  <c r="H95"/>
  <c r="H94" s="1"/>
  <c r="H90"/>
  <c r="H89"/>
  <c r="H88"/>
  <c r="H87" s="1"/>
  <c r="I87" s="1"/>
  <c r="H83"/>
  <c r="H82" s="1"/>
  <c r="I82" s="1"/>
  <c r="H80"/>
  <c r="H79" s="1"/>
  <c r="H78" s="1"/>
  <c r="I78" s="1"/>
  <c r="H75"/>
  <c r="H74" s="1"/>
  <c r="H73" s="1"/>
  <c r="H69"/>
  <c r="H68" s="1"/>
  <c r="H61"/>
  <c r="H60" s="1"/>
  <c r="H59" s="1"/>
  <c r="H58" s="1"/>
  <c r="H57" s="1"/>
  <c r="H55"/>
  <c r="H54" s="1"/>
  <c r="H52"/>
  <c r="H50"/>
  <c r="I50" s="1"/>
  <c r="H49"/>
  <c r="I49" s="1"/>
  <c r="H47"/>
  <c r="H46"/>
  <c r="H44"/>
  <c r="H43" s="1"/>
  <c r="H41"/>
  <c r="H40" s="1"/>
  <c r="H36"/>
  <c r="H35" s="1"/>
  <c r="H34" s="1"/>
  <c r="H32"/>
  <c r="H31" s="1"/>
  <c r="I31" s="1"/>
  <c r="H28"/>
  <c r="H26"/>
  <c r="H22"/>
  <c r="H15"/>
  <c r="H14" s="1"/>
  <c r="H13" s="1"/>
  <c r="H12" s="1"/>
  <c r="H235"/>
  <c r="G236"/>
  <c r="G235"/>
  <c r="I235" s="1"/>
  <c r="G233"/>
  <c r="G229"/>
  <c r="G225"/>
  <c r="G224" s="1"/>
  <c r="G218"/>
  <c r="G216"/>
  <c r="G213"/>
  <c r="G205"/>
  <c r="G204" s="1"/>
  <c r="G203" s="1"/>
  <c r="G202" s="1"/>
  <c r="G201" s="1"/>
  <c r="G200" s="1"/>
  <c r="G197"/>
  <c r="G195"/>
  <c r="G183"/>
  <c r="I183" s="1"/>
  <c r="G182"/>
  <c r="G181"/>
  <c r="G180" s="1"/>
  <c r="G179" s="1"/>
  <c r="G177"/>
  <c r="G176" s="1"/>
  <c r="G174"/>
  <c r="G171"/>
  <c r="G165"/>
  <c r="G164" s="1"/>
  <c r="G162"/>
  <c r="G161"/>
  <c r="G160" s="1"/>
  <c r="G159" s="1"/>
  <c r="G156"/>
  <c r="G155"/>
  <c r="G152"/>
  <c r="G151" s="1"/>
  <c r="G147"/>
  <c r="G145"/>
  <c r="G141"/>
  <c r="G133"/>
  <c r="G132"/>
  <c r="G128" s="1"/>
  <c r="G127" s="1"/>
  <c r="G130"/>
  <c r="G129"/>
  <c r="G124"/>
  <c r="G123" s="1"/>
  <c r="G122" s="1"/>
  <c r="G120"/>
  <c r="G119" s="1"/>
  <c r="G118" s="1"/>
  <c r="G117"/>
  <c r="G115"/>
  <c r="G114" s="1"/>
  <c r="G113" s="1"/>
  <c r="G112"/>
  <c r="I112" s="1"/>
  <c r="G110"/>
  <c r="I110" s="1"/>
  <c r="G109"/>
  <c r="G105"/>
  <c r="G104"/>
  <c r="G103" s="1"/>
  <c r="G102" s="1"/>
  <c r="G98"/>
  <c r="I98" s="1"/>
  <c r="G97"/>
  <c r="G95"/>
  <c r="G94" s="1"/>
  <c r="G90"/>
  <c r="I90" s="1"/>
  <c r="G89"/>
  <c r="G88"/>
  <c r="G87" s="1"/>
  <c r="G83"/>
  <c r="G82" s="1"/>
  <c r="G80"/>
  <c r="G79"/>
  <c r="G78" s="1"/>
  <c r="G75"/>
  <c r="G74" s="1"/>
  <c r="G73" s="1"/>
  <c r="G72" s="1"/>
  <c r="G69"/>
  <c r="G68"/>
  <c r="G67" s="1"/>
  <c r="G66" s="1"/>
  <c r="G65" s="1"/>
  <c r="G64" s="1"/>
  <c r="G61"/>
  <c r="G60" s="1"/>
  <c r="G59" s="1"/>
  <c r="G58" s="1"/>
  <c r="G57" s="1"/>
  <c r="G55"/>
  <c r="G54" s="1"/>
  <c r="G52"/>
  <c r="G50"/>
  <c r="G49" s="1"/>
  <c r="G47"/>
  <c r="G46"/>
  <c r="G44"/>
  <c r="G43"/>
  <c r="G41"/>
  <c r="G40" s="1"/>
  <c r="G36"/>
  <c r="G35"/>
  <c r="G34"/>
  <c r="G32"/>
  <c r="G31" s="1"/>
  <c r="G28"/>
  <c r="G26"/>
  <c r="G22"/>
  <c r="G15"/>
  <c r="G14" s="1"/>
  <c r="G13" s="1"/>
  <c r="G12" s="1"/>
  <c r="D13" i="6"/>
  <c r="D15"/>
  <c r="D31"/>
  <c r="D38"/>
  <c r="D34"/>
  <c r="D26"/>
  <c r="D20"/>
  <c r="D18"/>
  <c r="D11"/>
  <c r="C34"/>
  <c r="C38"/>
  <c r="C33"/>
  <c r="C31"/>
  <c r="C29"/>
  <c r="C28" s="1"/>
  <c r="E27"/>
  <c r="C26"/>
  <c r="C23"/>
  <c r="C20"/>
  <c r="C18"/>
  <c r="C15"/>
  <c r="C13"/>
  <c r="C11"/>
  <c r="E17" i="7"/>
  <c r="D17"/>
  <c r="C17"/>
  <c r="B17"/>
  <c r="E39" i="6"/>
  <c r="E37"/>
  <c r="E35"/>
  <c r="D29"/>
  <c r="D28" s="1"/>
  <c r="E24"/>
  <c r="E22"/>
  <c r="E21"/>
  <c r="E19"/>
  <c r="E17"/>
  <c r="E16"/>
  <c r="E14"/>
  <c r="E12"/>
  <c r="F217" i="2" l="1"/>
  <c r="H217" s="1"/>
  <c r="H218"/>
  <c r="H204"/>
  <c r="F202"/>
  <c r="H202" s="1"/>
  <c r="H205"/>
  <c r="H186"/>
  <c r="H187"/>
  <c r="H157"/>
  <c r="F154"/>
  <c r="H155"/>
  <c r="F145"/>
  <c r="F144" s="1"/>
  <c r="H144" s="1"/>
  <c r="F129"/>
  <c r="H130"/>
  <c r="F110"/>
  <c r="H111"/>
  <c r="F88"/>
  <c r="H88" s="1"/>
  <c r="F37"/>
  <c r="F36" s="1"/>
  <c r="F21"/>
  <c r="H22"/>
  <c r="H15"/>
  <c r="F14"/>
  <c r="G152"/>
  <c r="G117"/>
  <c r="G102" s="1"/>
  <c r="G11"/>
  <c r="I218" i="1"/>
  <c r="I197"/>
  <c r="I179"/>
  <c r="I176"/>
  <c r="I118"/>
  <c r="I109"/>
  <c r="I80"/>
  <c r="I44"/>
  <c r="I35"/>
  <c r="I224"/>
  <c r="I213"/>
  <c r="I205"/>
  <c r="I180"/>
  <c r="I181"/>
  <c r="I174"/>
  <c r="I171"/>
  <c r="I159"/>
  <c r="I155"/>
  <c r="G150"/>
  <c r="I151"/>
  <c r="I147"/>
  <c r="G140"/>
  <c r="G139" s="1"/>
  <c r="I141"/>
  <c r="I132"/>
  <c r="I133"/>
  <c r="I124"/>
  <c r="I122"/>
  <c r="I120"/>
  <c r="I117"/>
  <c r="I115"/>
  <c r="G108"/>
  <c r="G107" s="1"/>
  <c r="I107" s="1"/>
  <c r="I102"/>
  <c r="I105"/>
  <c r="G93"/>
  <c r="G92" s="1"/>
  <c r="I97"/>
  <c r="G86"/>
  <c r="I94"/>
  <c r="I89"/>
  <c r="I75"/>
  <c r="I57"/>
  <c r="I54"/>
  <c r="I55"/>
  <c r="I52"/>
  <c r="I46"/>
  <c r="I43"/>
  <c r="I40"/>
  <c r="I34"/>
  <c r="G21"/>
  <c r="G20" s="1"/>
  <c r="G19" s="1"/>
  <c r="I28"/>
  <c r="I12"/>
  <c r="I229"/>
  <c r="I225"/>
  <c r="I202"/>
  <c r="I201"/>
  <c r="I203"/>
  <c r="I182"/>
  <c r="H170"/>
  <c r="H169" s="1"/>
  <c r="H168" s="1"/>
  <c r="I170"/>
  <c r="I165"/>
  <c r="I160"/>
  <c r="I162"/>
  <c r="I161"/>
  <c r="I156"/>
  <c r="I152"/>
  <c r="H140"/>
  <c r="I130"/>
  <c r="I123"/>
  <c r="I119"/>
  <c r="I114"/>
  <c r="I113"/>
  <c r="I104"/>
  <c r="I103"/>
  <c r="I95"/>
  <c r="I88"/>
  <c r="I83"/>
  <c r="H72"/>
  <c r="I72" s="1"/>
  <c r="I73"/>
  <c r="I74"/>
  <c r="H67"/>
  <c r="I68"/>
  <c r="I69"/>
  <c r="I60"/>
  <c r="I59"/>
  <c r="I58"/>
  <c r="I61"/>
  <c r="I41"/>
  <c r="I36"/>
  <c r="H21"/>
  <c r="H20" s="1"/>
  <c r="I20" s="1"/>
  <c r="I22"/>
  <c r="I14"/>
  <c r="I13"/>
  <c r="I15"/>
  <c r="H223"/>
  <c r="H212"/>
  <c r="H190"/>
  <c r="H150"/>
  <c r="I150" s="1"/>
  <c r="H128"/>
  <c r="H101"/>
  <c r="H93"/>
  <c r="H77"/>
  <c r="H71"/>
  <c r="H39"/>
  <c r="G77"/>
  <c r="G71" s="1"/>
  <c r="G228"/>
  <c r="I228" s="1"/>
  <c r="G170"/>
  <c r="G169" s="1"/>
  <c r="G168" s="1"/>
  <c r="G39"/>
  <c r="G38" s="1"/>
  <c r="G11" s="1"/>
  <c r="G101"/>
  <c r="G100" s="1"/>
  <c r="G85" s="1"/>
  <c r="G191"/>
  <c r="G190" s="1"/>
  <c r="G189" s="1"/>
  <c r="G188" s="1"/>
  <c r="G187" s="1"/>
  <c r="G186" s="1"/>
  <c r="G185" s="1"/>
  <c r="G212"/>
  <c r="G211" s="1"/>
  <c r="G210" s="1"/>
  <c r="G209" s="1"/>
  <c r="G208" s="1"/>
  <c r="G207" s="1"/>
  <c r="E31" i="6"/>
  <c r="D33"/>
  <c r="E33" s="1"/>
  <c r="E28"/>
  <c r="E32"/>
  <c r="C10"/>
  <c r="C40" s="1"/>
  <c r="E29"/>
  <c r="E34"/>
  <c r="E18"/>
  <c r="E30"/>
  <c r="E15"/>
  <c r="E36"/>
  <c r="E13"/>
  <c r="E20"/>
  <c r="D23"/>
  <c r="E23" s="1"/>
  <c r="E38"/>
  <c r="F153" i="2" l="1"/>
  <c r="H154"/>
  <c r="H145"/>
  <c r="H129"/>
  <c r="F118"/>
  <c r="F109"/>
  <c r="H110"/>
  <c r="H37"/>
  <c r="F35"/>
  <c r="H35" s="1"/>
  <c r="H36"/>
  <c r="H21"/>
  <c r="F20"/>
  <c r="F13"/>
  <c r="H14"/>
  <c r="G10"/>
  <c r="D10" i="6"/>
  <c r="D40" s="1"/>
  <c r="G223" i="1"/>
  <c r="G222" s="1"/>
  <c r="G221" s="1"/>
  <c r="I191"/>
  <c r="I168"/>
  <c r="G138"/>
  <c r="G137" s="1"/>
  <c r="G136" s="1"/>
  <c r="G135" s="1"/>
  <c r="G10" s="1"/>
  <c r="I108"/>
  <c r="I77"/>
  <c r="I71"/>
  <c r="H222"/>
  <c r="I223"/>
  <c r="H211"/>
  <c r="I212"/>
  <c r="H189"/>
  <c r="I190"/>
  <c r="I169"/>
  <c r="H139"/>
  <c r="I139" s="1"/>
  <c r="I140"/>
  <c r="H127"/>
  <c r="I127" s="1"/>
  <c r="I128"/>
  <c r="H100"/>
  <c r="I100" s="1"/>
  <c r="I101"/>
  <c r="H92"/>
  <c r="I93"/>
  <c r="I67"/>
  <c r="H66"/>
  <c r="H38"/>
  <c r="I38" s="1"/>
  <c r="I39"/>
  <c r="H19"/>
  <c r="I19" s="1"/>
  <c r="I21"/>
  <c r="E26" i="6"/>
  <c r="E25"/>
  <c r="E11"/>
  <c r="F152" i="2" l="1"/>
  <c r="H152" s="1"/>
  <c r="H153"/>
  <c r="F117"/>
  <c r="H117" s="1"/>
  <c r="H118"/>
  <c r="H109"/>
  <c r="F103"/>
  <c r="F19"/>
  <c r="H19" s="1"/>
  <c r="H20"/>
  <c r="F12"/>
  <c r="H13"/>
  <c r="H221" i="1"/>
  <c r="I221" s="1"/>
  <c r="I222"/>
  <c r="H210"/>
  <c r="I211"/>
  <c r="H188"/>
  <c r="I189"/>
  <c r="H138"/>
  <c r="H86"/>
  <c r="I92"/>
  <c r="H65"/>
  <c r="I66"/>
  <c r="H11"/>
  <c r="I11" s="1"/>
  <c r="E40" i="6"/>
  <c r="E10"/>
  <c r="H103" i="2" l="1"/>
  <c r="F102"/>
  <c r="H102" s="1"/>
  <c r="H12"/>
  <c r="F11"/>
  <c r="H209" i="1"/>
  <c r="I210"/>
  <c r="H187"/>
  <c r="I188"/>
  <c r="H137"/>
  <c r="I138"/>
  <c r="I86"/>
  <c r="H85"/>
  <c r="I85" s="1"/>
  <c r="H64"/>
  <c r="I64" s="1"/>
  <c r="I65"/>
  <c r="J24" i="5"/>
  <c r="J16"/>
  <c r="C13" i="4"/>
  <c r="D13" s="1"/>
  <c r="D12"/>
  <c r="D11"/>
  <c r="F10" i="2" l="1"/>
  <c r="H10" s="1"/>
  <c r="H11"/>
  <c r="H208" i="1"/>
  <c r="I209"/>
  <c r="H186"/>
  <c r="I187"/>
  <c r="H136"/>
  <c r="I137"/>
  <c r="H207" l="1"/>
  <c r="I207" s="1"/>
  <c r="I208"/>
  <c r="H185"/>
  <c r="I185" s="1"/>
  <c r="I186"/>
  <c r="H135"/>
  <c r="I136"/>
  <c r="I135" l="1"/>
  <c r="H10"/>
  <c r="I10" s="1"/>
</calcChain>
</file>

<file path=xl/sharedStrings.xml><?xml version="1.0" encoding="utf-8"?>
<sst xmlns="http://schemas.openxmlformats.org/spreadsheetml/2006/main" count="2725" uniqueCount="363">
  <si>
    <t>Приложение № 2</t>
  </si>
  <si>
    <t>(тыс. рублей)</t>
  </si>
  <si>
    <t>Гл</t>
  </si>
  <si>
    <t>Рз</t>
  </si>
  <si>
    <t>ПР</t>
  </si>
  <si>
    <t>ЦСР</t>
  </si>
  <si>
    <t>ВР</t>
  </si>
  <si>
    <t>Утверждено</t>
  </si>
  <si>
    <t>Исполнено</t>
  </si>
  <si>
    <t>% исполнения</t>
  </si>
  <si>
    <t>АДМИНИСТРАЦИЯ СЕЛЬСКОГО ПОСЕЛЕНИЯ ДОРОХОВСКОЕ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</si>
  <si>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</si>
  <si>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</si>
  <si>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</si>
  <si>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</si>
  <si>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Расходы на выплаты персоналу государственных (муниципальных) органов</t>
  </si>
  <si>
    <t>120</t>
  </si>
  <si>
    <t>121</t>
  </si>
  <si>
    <t>122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</si>
  <si>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</si>
  <si>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</si>
  <si>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 xml:space="preserve">Центральный аппарат </t>
  </si>
  <si>
    <t>Иные закупки товаров, работ и услуг для обеспечения государственных (муниципальных) нужд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</si>
  <si>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</si>
  <si>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</si>
  <si>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</si>
  <si>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</si>
  <si>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</si>
  <si>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</si>
  <si>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</si>
  <si>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Отдельные мероприятия в области информационно-коммуникационных технологий и связи</t>
  </si>
  <si>
    <t>Субсидии бюджетным учреждениям на иные цели</t>
  </si>
  <si>
    <t>612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</si>
  <si>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</si>
  <si>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</si>
  <si>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</si>
  <si>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</si>
  <si>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</si>
  <si>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</si>
  <si>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</si>
  <si>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</si>
  <si>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</si>
  <si>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Уплата иных платежей</t>
  </si>
  <si>
    <t>853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</si>
  <si>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</si>
  <si>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</si>
  <si>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</si>
  <si>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</si>
  <si>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</si>
  <si>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940</t>
  </si>
  <si>
    <t>10</t>
  </si>
  <si>
    <t>09</t>
  </si>
  <si>
    <t>НАЦИОНАЛЬНАЯ ЭКОНОМИКА</t>
  </si>
  <si>
    <t>Связь и информатика</t>
  </si>
  <si>
    <t>Другие расходы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</si>
  <si>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</si>
  <si>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</si>
  <si>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</si>
  <si>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</si>
  <si>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</si>
  <si>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</si>
  <si>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</si>
  <si>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</si>
  <si>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</si>
  <si>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611</t>
  </si>
  <si>
    <t xml:space="preserve">КУЛЬТУРА, КИНЕМАТОГРАФИЯ </t>
  </si>
  <si>
    <t>08</t>
  </si>
  <si>
    <t xml:space="preserve">Культура </t>
  </si>
  <si>
    <t>111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</si>
  <si>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</si>
  <si>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</si>
  <si>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</si>
  <si>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</si>
  <si>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</si>
  <si>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ФИЗИЧЕСКАЯ КУЛЬТУРА И СПОРТ </t>
  </si>
  <si>
    <t xml:space="preserve">Физическая культура </t>
  </si>
  <si>
    <t>Расходы на выплаты персоналу казенных учреждений</t>
  </si>
  <si>
    <t>110</t>
  </si>
  <si>
    <t>Массовый спорт</t>
  </si>
  <si>
    <t>СРЕДСТВА МАССОВОЙ ИНФОРМАЦИИ</t>
  </si>
  <si>
    <t>Периодическая печать и издательство</t>
  </si>
  <si>
    <t>Муниципальная программа "Средства массовой информации"</t>
  </si>
  <si>
    <t>СОВЕТ ДЕПУТАТОВ СЕЛЬСКОГО ПОСЕЛЕНИЯ ДОРОХОВСКОЕ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</si>
  <si>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</si>
  <si>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</si>
  <si>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Приложение № 3</t>
  </si>
  <si>
    <t>Приложение № 4</t>
  </si>
  <si>
    <t>№ п/п</t>
  </si>
  <si>
    <t xml:space="preserve">Наименования </t>
  </si>
  <si>
    <t>3</t>
  </si>
  <si>
    <t>4</t>
  </si>
  <si>
    <t>5</t>
  </si>
  <si>
    <t>6</t>
  </si>
  <si>
    <t xml:space="preserve">Муниципальные программы </t>
  </si>
  <si>
    <t>Национальная безопасность и правоохранительная деятельность</t>
  </si>
  <si>
    <t>Культура, кинематография</t>
  </si>
  <si>
    <t>Жилищно-коммунальное хозяйство</t>
  </si>
  <si>
    <t>Физическая культура и спорт</t>
  </si>
  <si>
    <t>112</t>
  </si>
  <si>
    <t>Средства массовой информации</t>
  </si>
  <si>
    <t>Наименования передаваемых межбюджетных трансфертов</t>
  </si>
  <si>
    <t>ИТОГО</t>
  </si>
  <si>
    <t>Приложение №6</t>
  </si>
  <si>
    <t xml:space="preserve">                                                                                 к решению № </t>
  </si>
  <si>
    <t xml:space="preserve">к решению Совета депутатов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</si>
  <si>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</si>
  <si>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</si>
  <si>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>I. Привлечение долговых обязательств</t>
  </si>
  <si>
    <t>1. Кредитные договоры и соглашения, заключенные  от имени муниципального образования "Сельское поселение Дороховское"</t>
  </si>
  <si>
    <t>Виды заимствований</t>
  </si>
  <si>
    <t>1.</t>
  </si>
  <si>
    <t>Кредитные договоры и соглашения, заключенные от имени муниципального образования "Сельское поселение Дороховское"</t>
  </si>
  <si>
    <t>II. Погашение заимствований</t>
  </si>
  <si>
    <t>Кредитные договоры и соглашения, заключенные от имени муниципального образования "Сельское поеление Дороховское"</t>
  </si>
  <si>
    <t>2.</t>
  </si>
  <si>
    <t>Бюджетные кредиты, полученные от других бюджетов бюджетной системы</t>
  </si>
  <si>
    <t>ИТОГО:</t>
  </si>
  <si>
    <t>Приложение № 5</t>
  </si>
  <si>
    <t>Приложение №1</t>
  </si>
  <si>
    <t>Код по бюджетной классификации</t>
  </si>
  <si>
    <t>Наименование группы, подгруппы, статьи</t>
  </si>
  <si>
    <t>Уточненный план на год</t>
  </si>
  <si>
    <t>Сумма поступлений доходов</t>
  </si>
  <si>
    <t>% исполнения к сводной бюджетной росписи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</si>
  <si>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</si>
  <si>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</si>
  <si>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</si>
  <si>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</si>
  <si>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</si>
  <si>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</si>
  <si>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</si>
  <si>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</si>
  <si>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</si>
  <si>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Налог на имущество физических лиц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</si>
  <si>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</si>
  <si>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</si>
  <si>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</si>
  <si>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</si>
  <si>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</si>
  <si>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</si>
  <si>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</si>
  <si>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</si>
  <si>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</si>
  <si>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</si>
  <si>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</si>
  <si>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</si>
  <si>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</si>
  <si>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</si>
  <si>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</si>
  <si>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</si>
  <si>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</si>
  <si>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</si>
  <si>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</si>
  <si>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Субсидии бюджетам сельских поселений на закупку автотранспортных средств и коммунальной техники</t>
  </si>
  <si>
    <t>000 2 18 00000 00 0000 000</t>
  </si>
  <si>
    <t>ВСЕГО ДОХОДОВ</t>
  </si>
  <si>
    <t>Приложение №7</t>
  </si>
  <si>
    <t>Информация о численности работников органов местного самоуправления и муниципальных учреждений и расходах на оплату труда</t>
  </si>
  <si>
    <t>Наименование категорий работников</t>
  </si>
  <si>
    <t>Плановая численность, ставок</t>
  </si>
  <si>
    <t>Утверждены расходы на оплату труда (без начислений) тыс. руб.</t>
  </si>
  <si>
    <t>Исполнены расходы на оплату труда (без начислений) тыс. руб.</t>
  </si>
  <si>
    <t>Работники органов местного самоуправления</t>
  </si>
  <si>
    <t>Работники учреждений культуры</t>
  </si>
  <si>
    <t>Работники физкультуры и спорта</t>
  </si>
  <si>
    <t>Работники МБУ "АХЦ" СПД</t>
  </si>
  <si>
    <t>Работники МКУ "ЦБ" СПД</t>
  </si>
  <si>
    <t>Работники МКУ ИЦ "Дорохово-инфо"</t>
  </si>
  <si>
    <t xml:space="preserve">ИТОГО 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</si>
  <si>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</si>
  <si>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</si>
  <si>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182 1 05 03010 01 1000 110</t>
  </si>
  <si>
    <t>000 1 06 01000 00 0000 110</t>
  </si>
  <si>
    <t>182 1 09 04053 10 2000 110</t>
  </si>
  <si>
    <t>940 1 11 05035 10 0000 120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</si>
  <si>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</si>
  <si>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</si>
  <si>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</si>
  <si>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</si>
  <si>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940 1 13 01995 10 0000 130</t>
  </si>
  <si>
    <t>Прочие доходы от оказания платных услуг (работ) получателями средств бюджетов сельских поселений</t>
  </si>
  <si>
    <t>940 1 13 02995 10 0000 130</t>
  </si>
  <si>
    <t>Прочие доходы от компенсации затрат бюджетов сельских поселений</t>
  </si>
  <si>
    <t>940 1 14 02053 10 0000 410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</si>
  <si>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</si>
  <si>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816 1 16 51040 02 0000 140</t>
  </si>
  <si>
    <t>940 1 17 05050 10 0000 180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</si>
  <si>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</si>
  <si>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</si>
  <si>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940 2 02 02102 10 0000 151</t>
  </si>
  <si>
    <t>940 2 02 02999 10 0000 151</t>
  </si>
  <si>
    <t>Субсидии, предоставляемые из бюджета Московской области бюджетам муниципальных образований Московской области на софинансирование расходов на повышение заработной платы работникам муниципальных учреждений сферы культуры в 2016 году</t>
  </si>
  <si>
    <t>940 2 02 03015 10 0000 151</t>
  </si>
  <si>
    <t>Субвенции бюджетам сельских поселений на существление первичного воинского учета на территориях, где отсутствуют военные комиссариаты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</si>
  <si>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</t>
  </si>
  <si>
    <t>940 2 18 05010 10 0000 180</t>
  </si>
  <si>
    <t>Доходы бюджетов сельских поселений от возврата бюджетными учреждениями остатков субсидий прошлых лет</t>
  </si>
  <si>
    <t>Поступления доходов в бюджет сельского поселения Дороховское за 2016 год</t>
  </si>
  <si>
    <t>"Об исполнении бюджета сельского поселения Дороховское за 2016 год"</t>
  </si>
  <si>
    <t xml:space="preserve">Ведомственная структура бюджетных ассигнований сельского поселения Дороховское за  2016 год </t>
  </si>
  <si>
    <t>Руководство и управление в сфере установленных функций органов местного самоуправления</t>
  </si>
  <si>
    <t>70 0 00 00000</t>
  </si>
  <si>
    <t>70 0 00 01000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</si>
  <si>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</si>
  <si>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</si>
  <si>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</si>
  <si>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</si>
  <si>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</si>
  <si>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</si>
  <si>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Муниципальная программа "Доступная среда"</t>
  </si>
  <si>
    <t>63 0 00 00000</t>
  </si>
  <si>
    <t>63 0 02 63200</t>
  </si>
  <si>
    <t>99 0 00 11000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</si>
  <si>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соглашением на осуществление полномочий в сфере контроля за исполнением местного бюджета</t>
  </si>
  <si>
    <t>99 0 00 11840</t>
  </si>
  <si>
    <t>Непрограммные расходы</t>
  </si>
  <si>
    <t>99 0 00 00000</t>
  </si>
  <si>
    <t>Субсидии бюджетным учреждениям</t>
  </si>
  <si>
    <t>99 0 00 00610</t>
  </si>
  <si>
    <t>610</t>
  </si>
  <si>
    <t>Взносы муниципальных образований в общественные организации</t>
  </si>
  <si>
    <t>99 0 00 00853</t>
  </si>
  <si>
    <t>99 0 00 02900</t>
  </si>
  <si>
    <t>Отдельные общегосударственные вопросы касаемые государственной (муниципальной) собственности</t>
  </si>
  <si>
    <t>99 0 00 02911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</si>
  <si>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соглашением на определение поставщиков (подрядчиков, исполнителей) при осуществлении закупок товаров, работ, услуг для обеспечения муниципальных нужд</t>
  </si>
  <si>
    <t>99 0 00 40840</t>
  </si>
  <si>
    <t>Муниципальная программа «Комплекс изыскательских и проектных работ по объекту «Стела «Населенный пункт воинской доблести» в п.Дорохово Рузского муниципального района Московской области на 2016 год»</t>
  </si>
  <si>
    <t>66 6 01 60600</t>
  </si>
  <si>
    <t>Бюджетные инвестиции</t>
  </si>
  <si>
    <t>410</t>
  </si>
  <si>
    <t>99 0 00 51180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</si>
  <si>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</si>
  <si>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первичных мер пожарной безопасности в границах населенных пунктов сельского поселения Дороховское Рузского муниципального района на 2016 год»</t>
  </si>
  <si>
    <t>10 0 00 00000</t>
  </si>
  <si>
    <t>Основное мероприятие "Создание условий для реализации полномочий органов местного самоуправления"</t>
  </si>
  <si>
    <t>10 0 01 00000</t>
  </si>
  <si>
    <t>Расходы на обеспечение пожарной безопасности</t>
  </si>
  <si>
    <t>10 0 01 10000</t>
  </si>
  <si>
    <t>99 0 00 02910</t>
  </si>
  <si>
    <t>99 0 00 02920</t>
  </si>
  <si>
    <t>Бюджетные инвестиции в объекты капитального строительства государствненной (муниципальной) собственности</t>
  </si>
  <si>
    <t>Муниципальная программа «Газификация объектов муниципальной собственности сельского поселения Дороховское Рузского муниципального района на 2016 год»</t>
  </si>
  <si>
    <t>40 0 00 00000</t>
  </si>
  <si>
    <t>40 0 01 00000</t>
  </si>
  <si>
    <t>Расходы на газификацию объектов</t>
  </si>
  <si>
    <t>40 0 01 40000</t>
  </si>
  <si>
    <t>Программа «Приобретение техники для производства работ по внешнему благоустройству территории сельского поселения Дороховское Рузского муниципального района Московской области на 2015-2016гг.»</t>
  </si>
  <si>
    <t>65 0 00 00000</t>
  </si>
  <si>
    <t>65 0 01 00000</t>
  </si>
  <si>
    <t>65 0 01 60180</t>
  </si>
  <si>
    <t>Расходы на приобретение техники для нужд коммунального хозяйства</t>
  </si>
  <si>
    <t>65 0 01 65000</t>
  </si>
  <si>
    <t>Муниципальная программа «Благоустройство населенных пунктов сельского поселения Дороховское Рузского муниципального района Московской области на 2016 год»</t>
  </si>
  <si>
    <t>60 0 00 00000</t>
  </si>
  <si>
    <t xml:space="preserve">Подпрограмма "Уличное освещение" </t>
  </si>
  <si>
    <t>60 1 00 00000</t>
  </si>
  <si>
    <t>60 1 01 00000</t>
  </si>
  <si>
    <t>Расходы на уличное освещение</t>
  </si>
  <si>
    <t>60 1 01 60100</t>
  </si>
  <si>
    <t xml:space="preserve">Подпрограмма "Привокзальная площадь" </t>
  </si>
  <si>
    <t>60 2 00 00000</t>
  </si>
  <si>
    <t>60 2 01 00000</t>
  </si>
  <si>
    <t>Расходы на благоустройство привокзальной площади</t>
  </si>
  <si>
    <t>60 2 01 60200</t>
  </si>
  <si>
    <t xml:space="preserve">Подпрограмма "Прочее благоустройство" </t>
  </si>
  <si>
    <t>60 3 00 00000</t>
  </si>
  <si>
    <t>60 3 01 00000</t>
  </si>
  <si>
    <t>Расходы на прочее благоустройство</t>
  </si>
  <si>
    <t>60 3 01 60300</t>
  </si>
  <si>
    <t xml:space="preserve">Подпрограмма "Дворовые территории" </t>
  </si>
  <si>
    <t>60 4 00 00000</t>
  </si>
  <si>
    <t>60 4 01 00000</t>
  </si>
  <si>
    <t>Расходы на ремонт дворовых территорий</t>
  </si>
  <si>
    <t>60 4 01 60400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</si>
  <si>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</si>
  <si>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Программа «Приобретение техники для нужд благоустройства территории сельского поселения Дороховское Рузского муниципального района Московской области на 2016 год»</t>
  </si>
  <si>
    <t>65 1 00 00000</t>
  </si>
  <si>
    <t>65 1 01 00000</t>
  </si>
  <si>
    <t>Субсидии из бюджета Московской области бюджетам муниципальных образований на приобретение техники для нужд благоустройства</t>
  </si>
  <si>
    <t>65 1 01  61360</t>
  </si>
  <si>
    <t xml:space="preserve">Расходы на приобретение техники для нужд благоустройства </t>
  </si>
  <si>
    <t>65 1 01 65100</t>
  </si>
  <si>
    <t>Муниципальная программа "Культура" на 2016 год</t>
  </si>
  <si>
    <t>20 0 00 00000</t>
  </si>
  <si>
    <t xml:space="preserve">Подпрограмма  "Развитие МУК СП Дороховское" </t>
  </si>
  <si>
    <t>20 1 00 00000</t>
  </si>
  <si>
    <t>Основное мероприятие "Обеспечение функций муниципальных учреждений"</t>
  </si>
  <si>
    <t>20 1 02 00000</t>
  </si>
  <si>
    <t>Расходы на развитие МУК СП Дороховское</t>
  </si>
  <si>
    <t>20 1 02 20100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</si>
  <si>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</si>
  <si>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</si>
  <si>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</si>
  <si>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</si>
  <si>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Уплата прочих налогов, сборов </t>
  </si>
  <si>
    <t>20 1 03 00000</t>
  </si>
  <si>
    <t>Расходы на выполнение мероприятий по повышению заработной платы работников культуры МУК СП Дороховское</t>
  </si>
  <si>
    <t>20 1 03 20100</t>
  </si>
  <si>
    <t>Расходы на выполнение мероприятий по повышению заработной платы работников культуры МУК СП Дороховское за счет средств бюджета Московской области</t>
  </si>
  <si>
    <t>20 1 03 60440</t>
  </si>
  <si>
    <t xml:space="preserve">Подпрограмма "Мероприятия в сфере культуры" </t>
  </si>
  <si>
    <t>20 2 00 00000</t>
  </si>
  <si>
    <t>20 2 02 00000</t>
  </si>
  <si>
    <t>Расходы на проведение мероприятий в сфере культуры</t>
  </si>
  <si>
    <t>20 2 02 20200</t>
  </si>
  <si>
    <t xml:space="preserve">Муниципальная программа "Доступная среда" в учреждениях культуры </t>
  </si>
  <si>
    <t>63 0 00 00010</t>
  </si>
  <si>
    <t>63 0 02 63210</t>
  </si>
  <si>
    <t>99 0 00 02950</t>
  </si>
  <si>
    <t>Централизованная бухгалтерия</t>
  </si>
  <si>
    <t>99 0 00 02930</t>
  </si>
  <si>
    <t>Доплаты к пенсиям муниципальных служащих</t>
  </si>
  <si>
    <t>99 0 00 02940</t>
  </si>
  <si>
    <t>Социальные выплаты гражданам, кроме публичных нормативных социальных выплат</t>
  </si>
  <si>
    <t>320</t>
  </si>
  <si>
    <t>Муниципальная программа «Физическая культура и спорт» сельского поселения Дороховское на 2016 год»</t>
  </si>
  <si>
    <t>61 0 00 00000</t>
  </si>
  <si>
    <t xml:space="preserve">Подпрограмма "Развитие МУФК и С СП Дороховское" </t>
  </si>
  <si>
    <t>61 1 00 00000</t>
  </si>
  <si>
    <t>61 1 02 00000</t>
  </si>
  <si>
    <t>Расходы на развитие МУФК и С СП Дороховское</t>
  </si>
  <si>
    <t>61 1 02 61100</t>
  </si>
  <si>
    <t xml:space="preserve">Подпрограмма "Мероприятия с сфере физической культуры и спорта" </t>
  </si>
  <si>
    <t>61 2 00 00000</t>
  </si>
  <si>
    <t>61 2 02 00000</t>
  </si>
  <si>
    <t>Расходы на проведение мероприятий в сфере физической культуры и спорта</t>
  </si>
  <si>
    <t>61 2 02 61200</t>
  </si>
  <si>
    <t>62 0 00 00000</t>
  </si>
  <si>
    <t>Подпрограмма "Развитие МКУ ИЦ "Дорохово-инфо"</t>
  </si>
  <si>
    <t>62 1 00 00000</t>
  </si>
  <si>
    <t>62 1 02 00000</t>
  </si>
  <si>
    <t>Расходы на развитие МКУ ИЦ "Дорохово-инфо"</t>
  </si>
  <si>
    <t>62 1 02 62100</t>
  </si>
  <si>
    <t>70 0 00 02010</t>
  </si>
  <si>
    <t>Расходы на выплаты персоналу в целях обеспечения выполнения функций муниципальными органами</t>
  </si>
  <si>
    <t>70 0 00 02020</t>
  </si>
  <si>
    <t>Распределение бюджетных ассигнований сельского поселения Дороховское за 2016 год по разделам, подразделам, целевым статьям и группам (группам и подгруппам) видов расходов</t>
  </si>
  <si>
    <t>БЮДЖЕТ СЕЛЬСКОГО ПОСЕЛЕНИЯ ДОРОХОВСКОЕ</t>
  </si>
  <si>
    <t>Межбюджетные трансферты</t>
  </si>
  <si>
    <t>Муниципальная программа "Доступная среда" в учреждениях культуры</t>
  </si>
  <si>
    <t>Расходы бюджета сельского поселения Дороховское на финансирование мероприятий муниципальных программ за 2016 год</t>
  </si>
  <si>
    <t>1</t>
  </si>
  <si>
    <t>Муниципальная программа «Доступная среда»</t>
  </si>
  <si>
    <t>Муниципальная программа «Культура» на 2016 год</t>
  </si>
  <si>
    <t xml:space="preserve">Подпрограмма "Развитие МУК СП Дороховское" </t>
  </si>
  <si>
    <t xml:space="preserve">Подпрограмма "Мероприятия в сфере физической культуры и спорта" </t>
  </si>
  <si>
    <t>Муниципальная программа «Средства массовой информации»</t>
  </si>
  <si>
    <t>65 1 01 61360</t>
  </si>
  <si>
    <t>Расходы на приобретение техники для нужд благоустройства</t>
  </si>
  <si>
    <t>Муниципальная программа «Доступная среда» (в учреждениях культуры)</t>
  </si>
  <si>
    <t>8</t>
  </si>
  <si>
    <t>9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</si>
  <si>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сельского поселения Дороховское по решению вопросов местного значения сельского поселения Дороховское за 2016 год</t>
  </si>
  <si>
    <t>Объем средств, направляемых на погашение основной суммы долга в 2016 году    (тыс. рублей)</t>
  </si>
  <si>
    <t>Объем привлечения средств в 2016 году (тыс. рублей)</t>
  </si>
  <si>
    <t>Итого: общий объем привлеченных средств в 2016 году</t>
  </si>
  <si>
    <t>Программа муниципальных внутренних заимствований сельского поселения Дороховское за 2016 год</t>
  </si>
  <si>
    <t>Фактичеки на 01.01.2017, ставок</t>
  </si>
  <si>
    <t>к решению Совета депутатов Рузского городского округа Московской области</t>
  </si>
  <si>
    <t>от "26" июля 2017 года № 69/7</t>
  </si>
  <si>
    <t>Рузского городского округа Московской области</t>
  </si>
  <si>
    <t xml:space="preserve">от "26" июля 2017 года № 69/7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</si>
</sst>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0_р_._-;\-* #,##0.00_р_._-;_-* \-??_р_._-;_-@_-"/>
    <numFmt numFmtId="166" formatCode="#,##0.0"/>
    <numFmt numFmtId="167" formatCode="0.0"/>
    <numFmt numFmtId="168" formatCode="_-* #,##0.00\ _р_._-;\-* #,##0.00\ _р_._-;_-* &quot;-&quot;??\ _р_._-;_-@_-"/>
    <numFmt numFmtId="169" formatCode="#,##0_р_.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 Cyr"/>
      <family val="1"/>
      <charset val="204"/>
    </font>
    <font>
      <sz val="9"/>
      <name val="Arial Cyr"/>
      <family val="2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name val="Times New Roman Cyr"/>
      <family val="1"/>
      <charset val="204"/>
    </font>
    <font>
      <sz val="9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3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23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7" tint="0.79998168889431442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/>
    <xf numFmtId="0" fontId="11" fillId="0" borderId="0"/>
    <xf numFmtId="165" fontId="1" fillId="0" borderId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165" fontId="1" fillId="0" borderId="0" applyFill="0" applyBorder="0" applyAlignment="0" applyProtection="0"/>
    <xf numFmtId="169" fontId="10" fillId="0" borderId="0" applyFont="0" applyFill="0" applyBorder="0" applyAlignment="0" applyProtection="0"/>
    <xf numFmtId="0" fontId="33" fillId="0" borderId="0"/>
  </cellStyleXfs>
  <cellXfs count="352">
    <xf numFmtId="0" fontId="0" fillId="0" borderId="0" xfId="0"/>
    <xf numFmtId="0" fontId="1" fillId="0" borderId="0" xfId="1"/>
    <xf numFmtId="49" fontId="2" fillId="2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Border="1" applyAlignment="1"/>
    <xf numFmtId="0" fontId="8" fillId="0" borderId="0" xfId="1" applyFont="1" applyAlignment="1">
      <alignment wrapText="1"/>
    </xf>
    <xf numFmtId="0" fontId="9" fillId="0" borderId="0" xfId="1" applyFont="1"/>
    <xf numFmtId="0" fontId="9" fillId="0" borderId="0" xfId="1" applyFont="1" applyAlignment="1">
      <alignment horizontal="right"/>
    </xf>
    <xf numFmtId="166" fontId="6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0" borderId="0" xfId="6"/>
    <xf numFmtId="49" fontId="2" fillId="2" borderId="0" xfId="6" applyNumberFormat="1" applyFont="1" applyFill="1" applyBorder="1" applyAlignment="1">
      <alignment horizontal="right" vertical="top"/>
    </xf>
    <xf numFmtId="166" fontId="6" fillId="0" borderId="0" xfId="6" applyNumberFormat="1" applyFont="1" applyBorder="1" applyAlignment="1"/>
    <xf numFmtId="0" fontId="8" fillId="0" borderId="0" xfId="6" applyFont="1" applyAlignment="1">
      <alignment wrapText="1"/>
    </xf>
    <xf numFmtId="0" fontId="9" fillId="0" borderId="0" xfId="6" applyFont="1"/>
    <xf numFmtId="0" fontId="9" fillId="0" borderId="0" xfId="6" applyFont="1" applyAlignment="1">
      <alignment horizontal="right"/>
    </xf>
    <xf numFmtId="0" fontId="12" fillId="0" borderId="0" xfId="2" applyFont="1" applyAlignment="1">
      <alignment wrapText="1"/>
    </xf>
    <xf numFmtId="0" fontId="12" fillId="0" borderId="0" xfId="2" applyFont="1" applyAlignment="1"/>
    <xf numFmtId="0" fontId="13" fillId="0" borderId="0" xfId="2" applyFont="1" applyAlignment="1">
      <alignment wrapText="1"/>
    </xf>
    <xf numFmtId="0" fontId="13" fillId="0" borderId="0" xfId="2" applyFont="1" applyAlignment="1"/>
    <xf numFmtId="49" fontId="13" fillId="0" borderId="0" xfId="2" applyNumberFormat="1" applyFont="1" applyAlignment="1"/>
    <xf numFmtId="0" fontId="13" fillId="0" borderId="0" xfId="2" applyFont="1" applyAlignment="1">
      <alignment horizontal="right"/>
    </xf>
    <xf numFmtId="0" fontId="13" fillId="0" borderId="0" xfId="2" applyFont="1"/>
    <xf numFmtId="0" fontId="12" fillId="0" borderId="0" xfId="2" applyFont="1"/>
    <xf numFmtId="0" fontId="12" fillId="0" borderId="0" xfId="2" applyFont="1" applyBorder="1" applyAlignment="1">
      <alignment wrapText="1"/>
    </xf>
    <xf numFmtId="0" fontId="12" fillId="0" borderId="0" xfId="2" applyFont="1" applyBorder="1" applyAlignment="1">
      <alignment horizontal="justify"/>
    </xf>
    <xf numFmtId="49" fontId="12" fillId="0" borderId="0" xfId="2" applyNumberFormat="1" applyFont="1" applyBorder="1" applyAlignment="1">
      <alignment horizontal="justify"/>
    </xf>
    <xf numFmtId="0" fontId="12" fillId="0" borderId="0" xfId="2" applyFont="1" applyBorder="1" applyAlignment="1">
      <alignment horizontal="right"/>
    </xf>
    <xf numFmtId="0" fontId="12" fillId="0" borderId="0" xfId="2" applyFont="1" applyBorder="1"/>
    <xf numFmtId="49" fontId="4" fillId="2" borderId="2" xfId="0" applyNumberFormat="1" applyFont="1" applyFill="1" applyBorder="1" applyAlignment="1" applyProtection="1">
      <alignment horizontal="center" vertical="center"/>
    </xf>
    <xf numFmtId="0" fontId="10" fillId="0" borderId="0" xfId="2" applyFont="1"/>
    <xf numFmtId="0" fontId="21" fillId="0" borderId="2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wrapText="1"/>
    </xf>
    <xf numFmtId="0" fontId="20" fillId="0" borderId="5" xfId="2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wrapText="1"/>
    </xf>
    <xf numFmtId="166" fontId="4" fillId="7" borderId="5" xfId="2" applyNumberFormat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166" fontId="5" fillId="0" borderId="5" xfId="2" applyNumberFormat="1" applyFont="1" applyBorder="1" applyAlignment="1">
      <alignment horizontal="center"/>
    </xf>
    <xf numFmtId="0" fontId="2" fillId="0" borderId="0" xfId="0" applyFont="1" applyFill="1"/>
    <xf numFmtId="166" fontId="6" fillId="0" borderId="0" xfId="0" applyNumberFormat="1" applyFont="1" applyBorder="1" applyAlignment="1"/>
    <xf numFmtId="168" fontId="6" fillId="0" borderId="0" xfId="9" applyNumberFormat="1" applyFont="1" applyBorder="1" applyAlignme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49" fontId="12" fillId="0" borderId="0" xfId="2" applyNumberFormat="1" applyFont="1" applyAlignment="1"/>
    <xf numFmtId="0" fontId="0" fillId="0" borderId="0" xfId="0" applyBorder="1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right" vertical="top"/>
    </xf>
    <xf numFmtId="0" fontId="25" fillId="2" borderId="0" xfId="0" applyFont="1" applyFill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10" applyFont="1" applyBorder="1" applyAlignment="1">
      <alignment horizontal="left"/>
    </xf>
    <xf numFmtId="0" fontId="4" fillId="0" borderId="0" xfId="10" applyFont="1"/>
    <xf numFmtId="0" fontId="4" fillId="0" borderId="4" xfId="10" applyFont="1" applyBorder="1" applyAlignment="1">
      <alignment horizontal="left"/>
    </xf>
    <xf numFmtId="0" fontId="34" fillId="0" borderId="2" xfId="10" applyFont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29" fillId="2" borderId="2" xfId="0" applyNumberFormat="1" applyFont="1" applyFill="1" applyBorder="1" applyAlignment="1">
      <alignment horizontal="right" vertical="center"/>
    </xf>
    <xf numFmtId="49" fontId="26" fillId="14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9" fontId="26" fillId="2" borderId="2" xfId="0" applyNumberFormat="1" applyFont="1" applyFill="1" applyBorder="1" applyAlignment="1">
      <alignment horizontal="center" vertical="center" wrapText="1"/>
    </xf>
    <xf numFmtId="4" fontId="2" fillId="15" borderId="2" xfId="0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2" fillId="16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left" vertical="center"/>
    </xf>
    <xf numFmtId="49" fontId="26" fillId="15" borderId="2" xfId="0" applyNumberFormat="1" applyFont="1" applyFill="1" applyBorder="1" applyAlignment="1">
      <alignment horizontal="center" vertical="center" wrapText="1"/>
    </xf>
    <xf numFmtId="49" fontId="4" fillId="15" borderId="2" xfId="0" applyNumberFormat="1" applyFont="1" applyFill="1" applyBorder="1" applyAlignment="1">
      <alignment horizontal="left" vertical="center" wrapText="1"/>
    </xf>
    <xf numFmtId="0" fontId="32" fillId="15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26" fillId="7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9" fontId="3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29" fillId="2" borderId="2" xfId="0" applyNumberFormat="1" applyFont="1" applyFill="1" applyBorder="1" applyAlignment="1">
      <alignment horizontal="left" vertical="center" wrapText="1"/>
    </xf>
    <xf numFmtId="167" fontId="30" fillId="0" borderId="2" xfId="0" applyNumberFormat="1" applyFont="1" applyBorder="1" applyAlignment="1">
      <alignment horizontal="right" vertical="center"/>
    </xf>
    <xf numFmtId="167" fontId="27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12" borderId="2" xfId="0" applyFont="1" applyFill="1" applyBorder="1" applyAlignment="1" applyProtection="1">
      <alignment horizontal="center" vertical="center" wrapText="1"/>
    </xf>
    <xf numFmtId="49" fontId="4" fillId="15" borderId="2" xfId="0" applyNumberFormat="1" applyFont="1" applyFill="1" applyBorder="1" applyAlignment="1" applyProtection="1">
      <alignment horizontal="center" vertical="center"/>
    </xf>
    <xf numFmtId="49" fontId="4" fillId="12" borderId="2" xfId="0" applyNumberFormat="1" applyFont="1" applyFill="1" applyBorder="1" applyAlignment="1" applyProtection="1">
      <alignment horizontal="center" vertical="center"/>
    </xf>
    <xf numFmtId="0" fontId="4" fillId="12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7" fontId="35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/>
    </xf>
    <xf numFmtId="4" fontId="5" fillId="3" borderId="2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/>
    </xf>
    <xf numFmtId="4" fontId="4" fillId="4" borderId="2" xfId="0" applyNumberFormat="1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center" vertical="center"/>
    </xf>
    <xf numFmtId="4" fontId="4" fillId="5" borderId="2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vertical="center"/>
    </xf>
    <xf numFmtId="4" fontId="35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4" fontId="35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7" borderId="2" xfId="0" applyNumberFormat="1" applyFont="1" applyFill="1" applyBorder="1" applyAlignment="1">
      <alignment vertical="center"/>
    </xf>
    <xf numFmtId="4" fontId="4" fillId="5" borderId="2" xfId="0" applyNumberFormat="1" applyFont="1" applyFill="1" applyBorder="1" applyAlignment="1" applyProtection="1">
      <alignment vertical="center"/>
      <protection locked="0"/>
    </xf>
    <xf numFmtId="4" fontId="4" fillId="12" borderId="2" xfId="0" applyNumberFormat="1" applyFont="1" applyFill="1" applyBorder="1" applyAlignment="1" applyProtection="1">
      <alignment vertical="center"/>
      <protection locked="0"/>
    </xf>
    <xf numFmtId="4" fontId="4" fillId="4" borderId="2" xfId="0" applyNumberFormat="1" applyFont="1" applyFill="1" applyBorder="1" applyAlignment="1" applyProtection="1">
      <alignment vertical="center"/>
      <protection locked="0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15" borderId="2" xfId="0" applyNumberFormat="1" applyFont="1" applyFill="1" applyBorder="1" applyAlignment="1" applyProtection="1">
      <alignment vertical="center"/>
      <protection locked="0"/>
    </xf>
    <xf numFmtId="49" fontId="4" fillId="4" borderId="2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49" fontId="4" fillId="11" borderId="2" xfId="0" applyNumberFormat="1" applyFont="1" applyFill="1" applyBorder="1" applyAlignment="1" applyProtection="1">
      <alignment horizontal="center" vertical="center"/>
    </xf>
    <xf numFmtId="49" fontId="4" fillId="11" borderId="2" xfId="0" applyNumberFormat="1" applyFont="1" applyFill="1" applyBorder="1" applyAlignment="1">
      <alignment horizontal="center" vertical="center"/>
    </xf>
    <xf numFmtId="4" fontId="4" fillId="11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vertical="center"/>
    </xf>
    <xf numFmtId="4" fontId="4" fillId="12" borderId="2" xfId="0" applyNumberFormat="1" applyFont="1" applyFill="1" applyBorder="1" applyAlignment="1" applyProtection="1">
      <alignment vertical="center"/>
    </xf>
    <xf numFmtId="4" fontId="4" fillId="2" borderId="2" xfId="0" applyNumberFormat="1" applyFont="1" applyFill="1" applyBorder="1" applyAlignment="1" applyProtection="1">
      <alignment vertical="center"/>
    </xf>
    <xf numFmtId="4" fontId="4" fillId="15" borderId="2" xfId="0" applyNumberFormat="1" applyFont="1" applyFill="1" applyBorder="1" applyAlignment="1" applyProtection="1">
      <alignment vertical="center"/>
    </xf>
    <xf numFmtId="0" fontId="4" fillId="9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left" vertical="center" wrapText="1"/>
    </xf>
    <xf numFmtId="49" fontId="4" fillId="13" borderId="2" xfId="0" applyNumberFormat="1" applyFont="1" applyFill="1" applyBorder="1" applyAlignment="1" applyProtection="1">
      <alignment horizontal="center" vertical="center"/>
    </xf>
    <xf numFmtId="4" fontId="4" fillId="13" borderId="2" xfId="0" applyNumberFormat="1" applyFont="1" applyFill="1" applyBorder="1" applyAlignment="1" applyProtection="1">
      <alignment vertical="center"/>
      <protection locked="0"/>
    </xf>
    <xf numFmtId="0" fontId="4" fillId="12" borderId="2" xfId="0" applyFont="1" applyFill="1" applyBorder="1" applyAlignment="1" applyProtection="1">
      <alignment horizontal="left" vertical="center" wrapText="1"/>
    </xf>
    <xf numFmtId="0" fontId="4" fillId="12" borderId="2" xfId="0" applyFont="1" applyFill="1" applyBorder="1" applyAlignment="1">
      <alignment horizontal="center" vertical="center" wrapText="1"/>
    </xf>
    <xf numFmtId="49" fontId="4" fillId="12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17" borderId="2" xfId="0" applyNumberFormat="1" applyFont="1" applyFill="1" applyBorder="1" applyAlignment="1">
      <alignment horizontal="left" vertical="center" wrapText="1"/>
    </xf>
    <xf numFmtId="49" fontId="4" fillId="17" borderId="2" xfId="0" applyNumberFormat="1" applyFont="1" applyFill="1" applyBorder="1" applyAlignment="1">
      <alignment horizontal="center" vertical="center" wrapText="1"/>
    </xf>
    <xf numFmtId="49" fontId="4" fillId="17" borderId="2" xfId="0" applyNumberFormat="1" applyFont="1" applyFill="1" applyBorder="1" applyAlignment="1" applyProtection="1">
      <alignment horizontal="center" vertical="center"/>
    </xf>
    <xf numFmtId="49" fontId="4" fillId="17" borderId="2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49" fontId="4" fillId="10" borderId="2" xfId="0" applyNumberFormat="1" applyFont="1" applyFill="1" applyBorder="1" applyAlignment="1" applyProtection="1">
      <alignment horizontal="center" vertical="center"/>
    </xf>
    <xf numFmtId="4" fontId="4" fillId="10" borderId="2" xfId="0" applyNumberFormat="1" applyFont="1" applyFill="1" applyBorder="1" applyAlignment="1" applyProtection="1">
      <alignment vertical="center"/>
    </xf>
    <xf numFmtId="4" fontId="35" fillId="0" borderId="2" xfId="0" applyNumberFormat="1" applyFont="1" applyBorder="1"/>
    <xf numFmtId="166" fontId="5" fillId="0" borderId="3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7" fontId="35" fillId="0" borderId="2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center" vertical="center" wrapText="1"/>
    </xf>
    <xf numFmtId="4" fontId="5" fillId="19" borderId="2" xfId="0" applyNumberFormat="1" applyFont="1" applyFill="1" applyBorder="1" applyAlignment="1" applyProtection="1">
      <alignment vertical="center"/>
    </xf>
    <xf numFmtId="167" fontId="35" fillId="20" borderId="2" xfId="0" applyNumberFormat="1" applyFont="1" applyFill="1" applyBorder="1" applyAlignment="1">
      <alignment horizontal="right" vertical="center"/>
    </xf>
    <xf numFmtId="167" fontId="35" fillId="21" borderId="2" xfId="0" applyNumberFormat="1" applyFont="1" applyFill="1" applyBorder="1" applyAlignment="1">
      <alignment horizontal="right" vertical="center"/>
    </xf>
    <xf numFmtId="4" fontId="4" fillId="22" borderId="2" xfId="0" applyNumberFormat="1" applyFont="1" applyFill="1" applyBorder="1" applyAlignment="1" applyProtection="1">
      <alignment vertical="center"/>
    </xf>
    <xf numFmtId="167" fontId="35" fillId="23" borderId="2" xfId="0" applyNumberFormat="1" applyFont="1" applyFill="1" applyBorder="1" applyAlignment="1">
      <alignment horizontal="right" vertical="center"/>
    </xf>
    <xf numFmtId="167" fontId="35" fillId="24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22" borderId="2" xfId="0" applyFont="1" applyFill="1" applyBorder="1" applyAlignment="1" applyProtection="1">
      <alignment horizontal="left" vertical="center" wrapText="1"/>
    </xf>
    <xf numFmtId="49" fontId="4" fillId="22" borderId="2" xfId="0" applyNumberFormat="1" applyFont="1" applyFill="1" applyBorder="1" applyAlignment="1" applyProtection="1">
      <alignment horizontal="center" vertical="center"/>
    </xf>
    <xf numFmtId="0" fontId="4" fillId="18" borderId="2" xfId="0" applyFont="1" applyFill="1" applyBorder="1" applyAlignment="1" applyProtection="1">
      <alignment horizontal="left" vertical="center" wrapText="1"/>
    </xf>
    <xf numFmtId="49" fontId="4" fillId="18" borderId="2" xfId="0" applyNumberFormat="1" applyFont="1" applyFill="1" applyBorder="1" applyAlignment="1" applyProtection="1">
      <alignment horizontal="center" vertical="center"/>
    </xf>
    <xf numFmtId="4" fontId="4" fillId="18" borderId="2" xfId="0" applyNumberFormat="1" applyFont="1" applyFill="1" applyBorder="1" applyAlignment="1" applyProtection="1">
      <alignment vertical="center"/>
    </xf>
    <xf numFmtId="4" fontId="4" fillId="18" borderId="2" xfId="0" applyNumberFormat="1" applyFont="1" applyFill="1" applyBorder="1" applyAlignment="1" applyProtection="1">
      <alignment vertical="center"/>
      <protection locked="0"/>
    </xf>
    <xf numFmtId="4" fontId="4" fillId="22" borderId="2" xfId="0" applyNumberFormat="1" applyFont="1" applyFill="1" applyBorder="1" applyAlignment="1" applyProtection="1">
      <alignment vertical="center"/>
      <protection locked="0"/>
    </xf>
    <xf numFmtId="49" fontId="4" fillId="25" borderId="2" xfId="0" applyNumberFormat="1" applyFont="1" applyFill="1" applyBorder="1" applyAlignment="1">
      <alignment horizontal="left" vertical="center" wrapText="1"/>
    </xf>
    <xf numFmtId="49" fontId="4" fillId="25" borderId="2" xfId="0" applyNumberFormat="1" applyFont="1" applyFill="1" applyBorder="1" applyAlignment="1" applyProtection="1">
      <alignment horizontal="center" vertical="center"/>
    </xf>
    <xf numFmtId="49" fontId="4" fillId="25" borderId="2" xfId="0" applyNumberFormat="1" applyFont="1" applyFill="1" applyBorder="1" applyAlignment="1" applyProtection="1">
      <alignment horizontal="center" vertical="center"/>
      <protection locked="0"/>
    </xf>
    <xf numFmtId="4" fontId="4" fillId="25" borderId="2" xfId="0" applyNumberFormat="1" applyFont="1" applyFill="1" applyBorder="1" applyAlignment="1" applyProtection="1">
      <alignment vertical="center"/>
      <protection locked="0"/>
    </xf>
    <xf numFmtId="0" fontId="4" fillId="25" borderId="2" xfId="0" applyFont="1" applyFill="1" applyBorder="1" applyAlignment="1">
      <alignment vertical="center" wrapText="1"/>
    </xf>
    <xf numFmtId="49" fontId="4" fillId="25" borderId="2" xfId="0" applyNumberFormat="1" applyFont="1" applyFill="1" applyBorder="1" applyAlignment="1">
      <alignment horizontal="center" vertical="center"/>
    </xf>
    <xf numFmtId="4" fontId="4" fillId="25" borderId="2" xfId="0" applyNumberFormat="1" applyFont="1" applyFill="1" applyBorder="1" applyAlignment="1">
      <alignment vertical="center"/>
    </xf>
    <xf numFmtId="167" fontId="35" fillId="20" borderId="2" xfId="0" applyNumberFormat="1" applyFont="1" applyFill="1" applyBorder="1" applyAlignment="1">
      <alignment horizontal="center" vertical="center"/>
    </xf>
    <xf numFmtId="167" fontId="35" fillId="23" borderId="2" xfId="0" applyNumberFormat="1" applyFont="1" applyFill="1" applyBorder="1" applyAlignment="1">
      <alignment horizontal="center" vertical="center"/>
    </xf>
    <xf numFmtId="167" fontId="35" fillId="24" borderId="2" xfId="0" applyNumberFormat="1" applyFont="1" applyFill="1" applyBorder="1" applyAlignment="1">
      <alignment horizontal="center" vertical="center"/>
    </xf>
    <xf numFmtId="0" fontId="4" fillId="25" borderId="2" xfId="0" applyFont="1" applyFill="1" applyBorder="1" applyAlignment="1" applyProtection="1">
      <alignment horizontal="left" vertical="center" wrapText="1"/>
    </xf>
    <xf numFmtId="0" fontId="4" fillId="25" borderId="2" xfId="0" applyFont="1" applyFill="1" applyBorder="1" applyAlignment="1" applyProtection="1">
      <alignment horizontal="center" vertical="center" wrapText="1"/>
    </xf>
    <xf numFmtId="49" fontId="4" fillId="26" borderId="2" xfId="0" applyNumberFormat="1" applyFont="1" applyFill="1" applyBorder="1" applyAlignment="1">
      <alignment horizontal="left" vertical="center" wrapText="1"/>
    </xf>
    <xf numFmtId="49" fontId="4" fillId="26" borderId="2" xfId="0" applyNumberFormat="1" applyFont="1" applyFill="1" applyBorder="1" applyAlignment="1">
      <alignment horizontal="center" vertical="center" wrapText="1"/>
    </xf>
    <xf numFmtId="49" fontId="4" fillId="26" borderId="2" xfId="0" applyNumberFormat="1" applyFont="1" applyFill="1" applyBorder="1" applyAlignment="1" applyProtection="1">
      <alignment horizontal="center" vertical="center"/>
    </xf>
    <xf numFmtId="4" fontId="4" fillId="26" borderId="2" xfId="0" applyNumberFormat="1" applyFont="1" applyFill="1" applyBorder="1" applyAlignment="1" applyProtection="1">
      <alignment vertical="center"/>
      <protection locked="0"/>
    </xf>
    <xf numFmtId="49" fontId="4" fillId="25" borderId="2" xfId="0" applyNumberFormat="1" applyFont="1" applyFill="1" applyBorder="1" applyAlignment="1">
      <alignment horizontal="center" vertical="center" wrapText="1"/>
    </xf>
    <xf numFmtId="0" fontId="4" fillId="25" borderId="2" xfId="0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 applyProtection="1">
      <alignment vertical="center"/>
    </xf>
    <xf numFmtId="0" fontId="4" fillId="27" borderId="2" xfId="0" applyFont="1" applyFill="1" applyBorder="1" applyAlignment="1" applyProtection="1">
      <alignment horizontal="left" vertical="center" wrapText="1"/>
    </xf>
    <xf numFmtId="0" fontId="4" fillId="21" borderId="2" xfId="0" applyFont="1" applyFill="1" applyBorder="1" applyAlignment="1" applyProtection="1">
      <alignment horizontal="center" vertical="center" wrapText="1"/>
    </xf>
    <xf numFmtId="49" fontId="4" fillId="27" borderId="2" xfId="0" applyNumberFormat="1" applyFont="1" applyFill="1" applyBorder="1" applyAlignment="1" applyProtection="1">
      <alignment horizontal="center" vertical="center"/>
    </xf>
    <xf numFmtId="4" fontId="4" fillId="27" borderId="2" xfId="0" applyNumberFormat="1" applyFont="1" applyFill="1" applyBorder="1" applyAlignment="1" applyProtection="1">
      <alignment vertical="center"/>
      <protection locked="0"/>
    </xf>
    <xf numFmtId="167" fontId="35" fillId="21" borderId="2" xfId="0" applyNumberFormat="1" applyFont="1" applyFill="1" applyBorder="1" applyAlignment="1">
      <alignment horizontal="center" vertical="center"/>
    </xf>
    <xf numFmtId="49" fontId="26" fillId="15" borderId="2" xfId="0" applyNumberFormat="1" applyFont="1" applyFill="1" applyBorder="1" applyAlignment="1" applyProtection="1">
      <alignment horizontal="center" vertical="center"/>
    </xf>
    <xf numFmtId="49" fontId="17" fillId="12" borderId="2" xfId="2" applyNumberFormat="1" applyFont="1" applyFill="1" applyBorder="1" applyAlignment="1">
      <alignment horizontal="center" vertical="center" wrapText="1"/>
    </xf>
    <xf numFmtId="4" fontId="19" fillId="12" borderId="2" xfId="2" applyNumberFormat="1" applyFont="1" applyFill="1" applyBorder="1" applyAlignment="1">
      <alignment horizontal="right" vertical="center" wrapText="1"/>
    </xf>
    <xf numFmtId="4" fontId="4" fillId="12" borderId="2" xfId="2" applyNumberFormat="1" applyFont="1" applyFill="1" applyBorder="1" applyAlignment="1">
      <alignment horizontal="right" vertical="center" wrapText="1"/>
    </xf>
    <xf numFmtId="0" fontId="5" fillId="13" borderId="2" xfId="0" applyFont="1" applyFill="1" applyBorder="1" applyAlignment="1" applyProtection="1">
      <alignment horizontal="left" vertical="center" wrapText="1"/>
    </xf>
    <xf numFmtId="0" fontId="14" fillId="12" borderId="2" xfId="2" applyFont="1" applyFill="1" applyBorder="1" applyAlignment="1">
      <alignment horizontal="center" vertical="center" wrapText="1"/>
    </xf>
    <xf numFmtId="49" fontId="14" fillId="12" borderId="2" xfId="2" applyNumberFormat="1" applyFont="1" applyFill="1" applyBorder="1" applyAlignment="1">
      <alignment horizontal="center" vertical="center" wrapText="1"/>
    </xf>
    <xf numFmtId="3" fontId="14" fillId="12" borderId="2" xfId="2" applyNumberFormat="1" applyFont="1" applyFill="1" applyBorder="1" applyAlignment="1">
      <alignment horizontal="center" vertical="center" wrapText="1"/>
    </xf>
    <xf numFmtId="0" fontId="14" fillId="12" borderId="2" xfId="2" applyFont="1" applyFill="1" applyBorder="1" applyAlignment="1">
      <alignment vertical="center" wrapText="1"/>
    </xf>
    <xf numFmtId="4" fontId="36" fillId="12" borderId="2" xfId="2" applyNumberFormat="1" applyFont="1" applyFill="1" applyBorder="1" applyAlignment="1">
      <alignment horizontal="right" vertical="center"/>
    </xf>
    <xf numFmtId="4" fontId="5" fillId="12" borderId="2" xfId="2" applyNumberFormat="1" applyFont="1" applyFill="1" applyBorder="1" applyAlignment="1">
      <alignment horizontal="right" vertical="center"/>
    </xf>
    <xf numFmtId="167" fontId="35" fillId="12" borderId="2" xfId="0" applyNumberFormat="1" applyFont="1" applyFill="1" applyBorder="1" applyAlignment="1">
      <alignment vertical="center"/>
    </xf>
    <xf numFmtId="49" fontId="15" fillId="12" borderId="2" xfId="2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vertical="center" wrapText="1"/>
    </xf>
    <xf numFmtId="49" fontId="28" fillId="12" borderId="2" xfId="0" applyNumberFormat="1" applyFont="1" applyFill="1" applyBorder="1" applyAlignment="1">
      <alignment horizontal="center" vertical="center"/>
    </xf>
    <xf numFmtId="49" fontId="5" fillId="12" borderId="2" xfId="0" applyNumberFormat="1" applyFont="1" applyFill="1" applyBorder="1" applyAlignment="1" applyProtection="1">
      <alignment horizontal="center" vertical="center"/>
    </xf>
    <xf numFmtId="49" fontId="5" fillId="12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vertical="center"/>
    </xf>
    <xf numFmtId="49" fontId="16" fillId="12" borderId="2" xfId="2" applyNumberFormat="1" applyFont="1" applyFill="1" applyBorder="1" applyAlignment="1">
      <alignment horizontal="center" vertical="center" wrapText="1"/>
    </xf>
    <xf numFmtId="4" fontId="4" fillId="12" borderId="2" xfId="0" applyNumberFormat="1" applyFont="1" applyFill="1" applyBorder="1" applyAlignment="1">
      <alignment vertical="center"/>
    </xf>
    <xf numFmtId="4" fontId="35" fillId="12" borderId="2" xfId="0" applyNumberFormat="1" applyFont="1" applyFill="1" applyBorder="1" applyAlignment="1">
      <alignment vertical="center"/>
    </xf>
    <xf numFmtId="49" fontId="5" fillId="15" borderId="2" xfId="0" applyNumberFormat="1" applyFont="1" applyFill="1" applyBorder="1" applyAlignment="1">
      <alignment horizontal="left" vertical="center" wrapText="1"/>
    </xf>
    <xf numFmtId="4" fontId="36" fillId="12" borderId="2" xfId="2" applyNumberFormat="1" applyFont="1" applyFill="1" applyBorder="1" applyAlignment="1">
      <alignment horizontal="right" vertical="center" wrapText="1"/>
    </xf>
    <xf numFmtId="4" fontId="5" fillId="12" borderId="2" xfId="2" applyNumberFormat="1" applyFont="1" applyFill="1" applyBorder="1" applyAlignment="1">
      <alignment horizontal="right" vertical="center" wrapText="1"/>
    </xf>
    <xf numFmtId="0" fontId="19" fillId="12" borderId="2" xfId="2" applyFont="1" applyFill="1" applyBorder="1" applyAlignment="1">
      <alignment vertical="center" wrapText="1"/>
    </xf>
    <xf numFmtId="0" fontId="4" fillId="15" borderId="2" xfId="0" applyFont="1" applyFill="1" applyBorder="1" applyAlignment="1" applyProtection="1">
      <alignment horizontal="left" vertical="center" wrapText="1"/>
    </xf>
    <xf numFmtId="49" fontId="28" fillId="15" borderId="2" xfId="0" applyNumberFormat="1" applyFont="1" applyFill="1" applyBorder="1" applyAlignment="1" applyProtection="1">
      <alignment horizontal="center" vertical="center"/>
    </xf>
    <xf numFmtId="4" fontId="37" fillId="12" borderId="2" xfId="2" applyNumberFormat="1" applyFont="1" applyFill="1" applyBorder="1" applyAlignment="1">
      <alignment horizontal="right" vertical="center" wrapText="1"/>
    </xf>
    <xf numFmtId="0" fontId="12" fillId="12" borderId="2" xfId="2" applyFont="1" applyFill="1" applyBorder="1" applyAlignment="1">
      <alignment horizontal="center" vertical="center" wrapText="1"/>
    </xf>
    <xf numFmtId="0" fontId="18" fillId="12" borderId="2" xfId="2" applyFont="1" applyFill="1" applyBorder="1" applyAlignment="1">
      <alignment vertical="center" wrapText="1"/>
    </xf>
    <xf numFmtId="0" fontId="5" fillId="12" borderId="2" xfId="0" applyFont="1" applyFill="1" applyBorder="1" applyAlignment="1" applyProtection="1">
      <alignment horizontal="left" vertical="center" wrapText="1"/>
    </xf>
    <xf numFmtId="0" fontId="4" fillId="12" borderId="2" xfId="0" applyFont="1" applyFill="1" applyBorder="1" applyAlignment="1">
      <alignment vertical="center"/>
    </xf>
    <xf numFmtId="49" fontId="12" fillId="12" borderId="2" xfId="2" applyNumberFormat="1" applyFont="1" applyFill="1" applyBorder="1" applyAlignment="1">
      <alignment horizontal="center" vertical="center" wrapText="1"/>
    </xf>
    <xf numFmtId="49" fontId="12" fillId="12" borderId="2" xfId="2" applyNumberFormat="1" applyFont="1" applyFill="1" applyBorder="1" applyAlignment="1">
      <alignment horizontal="center" vertical="center"/>
    </xf>
    <xf numFmtId="49" fontId="12" fillId="12" borderId="2" xfId="2" quotePrefix="1" applyNumberFormat="1" applyFont="1" applyFill="1" applyBorder="1" applyAlignment="1">
      <alignment horizontal="center" vertical="center"/>
    </xf>
    <xf numFmtId="4" fontId="18" fillId="12" borderId="2" xfId="2" applyNumberFormat="1" applyFont="1" applyFill="1" applyBorder="1" applyAlignment="1">
      <alignment horizontal="right" vertical="center" wrapText="1"/>
    </xf>
    <xf numFmtId="0" fontId="18" fillId="12" borderId="2" xfId="2" applyFont="1" applyFill="1" applyBorder="1" applyAlignment="1">
      <alignment horizontal="left" vertical="center" wrapText="1"/>
    </xf>
    <xf numFmtId="49" fontId="5" fillId="13" borderId="2" xfId="0" applyNumberFormat="1" applyFont="1" applyFill="1" applyBorder="1" applyAlignment="1">
      <alignment horizontal="left" vertical="center" wrapText="1"/>
    </xf>
    <xf numFmtId="0" fontId="15" fillId="12" borderId="2" xfId="2" applyFont="1" applyFill="1" applyBorder="1" applyAlignment="1">
      <alignment horizontal="center" vertical="center" wrapText="1"/>
    </xf>
    <xf numFmtId="0" fontId="12" fillId="12" borderId="2" xfId="2" applyFont="1" applyFill="1" applyBorder="1" applyAlignment="1">
      <alignment vertical="center" wrapText="1"/>
    </xf>
    <xf numFmtId="4" fontId="18" fillId="12" borderId="2" xfId="2" applyNumberFormat="1" applyFont="1" applyFill="1" applyBorder="1" applyAlignment="1">
      <alignment horizontal="right" vertical="center"/>
    </xf>
    <xf numFmtId="4" fontId="4" fillId="12" borderId="2" xfId="2" applyNumberFormat="1" applyFont="1" applyFill="1" applyBorder="1" applyAlignment="1">
      <alignment horizontal="right" vertical="center"/>
    </xf>
    <xf numFmtId="0" fontId="0" fillId="12" borderId="2" xfId="0" applyFill="1" applyBorder="1" applyAlignment="1">
      <alignment vertical="center"/>
    </xf>
    <xf numFmtId="0" fontId="38" fillId="0" borderId="21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49" fontId="4" fillId="0" borderId="2" xfId="10" applyNumberFormat="1" applyFont="1" applyBorder="1" applyAlignment="1">
      <alignment horizontal="left" vertical="center" wrapText="1"/>
    </xf>
    <xf numFmtId="166" fontId="4" fillId="0" borderId="2" xfId="10" applyNumberFormat="1" applyFont="1" applyBorder="1" applyAlignment="1">
      <alignment horizontal="right" vertical="center" wrapText="1"/>
    </xf>
    <xf numFmtId="0" fontId="5" fillId="0" borderId="2" xfId="10" applyFont="1" applyBorder="1" applyAlignment="1">
      <alignment horizontal="left" vertical="center" wrapText="1"/>
    </xf>
    <xf numFmtId="166" fontId="5" fillId="0" borderId="2" xfId="10" applyNumberFormat="1" applyFont="1" applyBorder="1" applyAlignment="1">
      <alignment horizontal="right" vertical="center"/>
    </xf>
    <xf numFmtId="166" fontId="4" fillId="0" borderId="2" xfId="10" applyNumberFormat="1" applyFont="1" applyFill="1" applyBorder="1" applyAlignment="1">
      <alignment vertical="center"/>
    </xf>
    <xf numFmtId="2" fontId="4" fillId="0" borderId="2" xfId="10" applyNumberFormat="1" applyFont="1" applyBorder="1" applyAlignment="1">
      <alignment horizontal="right" vertical="center" wrapText="1"/>
    </xf>
    <xf numFmtId="2" fontId="4" fillId="0" borderId="2" xfId="10" applyNumberFormat="1" applyFont="1" applyFill="1" applyBorder="1" applyAlignment="1">
      <alignment horizontal="right" vertical="center" wrapText="1"/>
    </xf>
    <xf numFmtId="2" fontId="4" fillId="12" borderId="2" xfId="10" applyNumberFormat="1" applyFont="1" applyFill="1" applyBorder="1" applyAlignment="1">
      <alignment horizontal="right" vertical="center" wrapText="1"/>
    </xf>
    <xf numFmtId="2" fontId="5" fillId="0" borderId="2" xfId="1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166" fontId="4" fillId="0" borderId="0" xfId="1" applyNumberFormat="1" applyFont="1" applyAlignment="1">
      <alignment horizontal="right"/>
    </xf>
    <xf numFmtId="166" fontId="7" fillId="0" borderId="0" xfId="1" applyNumberFormat="1" applyFont="1" applyBorder="1" applyAlignment="1">
      <alignment horizontal="right" wrapText="1"/>
    </xf>
    <xf numFmtId="166" fontId="7" fillId="0" borderId="0" xfId="1" applyNumberFormat="1" applyFont="1" applyBorder="1" applyAlignment="1">
      <alignment horizontal="right"/>
    </xf>
    <xf numFmtId="49" fontId="7" fillId="2" borderId="0" xfId="1" applyNumberFormat="1" applyFont="1" applyFill="1" applyBorder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166" fontId="4" fillId="0" borderId="0" xfId="6" applyNumberFormat="1" applyFont="1" applyAlignment="1">
      <alignment horizontal="right"/>
    </xf>
    <xf numFmtId="166" fontId="7" fillId="0" borderId="0" xfId="6" applyNumberFormat="1" applyFont="1" applyBorder="1" applyAlignment="1">
      <alignment horizontal="right"/>
    </xf>
    <xf numFmtId="49" fontId="7" fillId="2" borderId="0" xfId="6" applyNumberFormat="1" applyFont="1" applyFill="1" applyBorder="1" applyAlignment="1">
      <alignment horizontal="right" vertical="top" wrapText="1"/>
    </xf>
    <xf numFmtId="0" fontId="3" fillId="0" borderId="0" xfId="6" applyFont="1" applyBorder="1" applyAlignment="1">
      <alignment horizontal="center" vertical="center" wrapText="1"/>
    </xf>
    <xf numFmtId="49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 wrapText="1"/>
    </xf>
    <xf numFmtId="0" fontId="14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20" fillId="0" borderId="4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67" fontId="23" fillId="0" borderId="8" xfId="0" applyNumberFormat="1" applyFont="1" applyFill="1" applyBorder="1" applyAlignment="1">
      <alignment horizontal="center" vertical="center"/>
    </xf>
    <xf numFmtId="167" fontId="2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24" fillId="0" borderId="17" xfId="0" applyNumberFormat="1" applyFont="1" applyFill="1" applyBorder="1" applyAlignment="1">
      <alignment horizontal="center" vertical="center"/>
    </xf>
    <xf numFmtId="167" fontId="24" fillId="0" borderId="19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67" fontId="23" fillId="0" borderId="17" xfId="0" applyNumberFormat="1" applyFont="1" applyFill="1" applyBorder="1" applyAlignment="1">
      <alignment horizontal="center" vertical="center"/>
    </xf>
    <xf numFmtId="167" fontId="23" fillId="0" borderId="19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4" fillId="0" borderId="0" xfId="1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4" fillId="0" borderId="0" xfId="10" applyFont="1" applyBorder="1" applyAlignment="1">
      <alignment horizontal="center" wrapText="1"/>
    </xf>
  </cellXfs>
  <cellStyles count="11">
    <cellStyle name="Обычный" xfId="0" builtinId="0"/>
    <cellStyle name="Обычный 2" xfId="1"/>
    <cellStyle name="Обычный 2 2" xfId="2"/>
    <cellStyle name="Обычный 2 3" xfId="7"/>
    <cellStyle name="Обычный 3" xfId="6"/>
    <cellStyle name="Обычный 9" xfId="3"/>
    <cellStyle name="Обычный_Приложения к тексту Главы" xfId="10"/>
    <cellStyle name="Финансовый 2 2" xfId="4"/>
    <cellStyle name="Финансовый 2 3" xfId="8"/>
    <cellStyle name="Финансовый 3" xfId="5"/>
    <cellStyle name="Финансовый_приложение 14" xfId="9"/>
  </cellStyles>
  <dxfs count="0"/>
  <tableStyles count="0" defaultTableStyle="TableStyleMedium9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workbookViewId="0">
      <selection activeCell="B5" sqref="B5"/>
    </sheetView>
  </sheetViews>
  <sheetFormatPr defaultRowHeight="15"/>
  <cols>
    <col min="1" max="1" width="21.85546875" customWidth="1"/>
    <col min="2" max="2" width="33.7109375" customWidth="1"/>
    <col min="3" max="3" width="14" customWidth="1"/>
    <col min="4" max="4" width="13.28515625" customWidth="1"/>
    <col min="5" max="5" width="11.7109375" customWidth="1"/>
  </cols>
  <sheetData>
    <row r="1" spans="1:5">
      <c r="A1" s="63"/>
      <c r="B1" s="292" t="s">
        <v>118</v>
      </c>
      <c r="C1" s="292"/>
      <c r="D1" s="292"/>
      <c r="E1" s="292"/>
    </row>
    <row r="2" spans="1:5">
      <c r="A2" s="293" t="s">
        <v>359</v>
      </c>
      <c r="B2" s="293"/>
      <c r="C2" s="293"/>
      <c r="D2" s="293"/>
      <c r="E2" s="293"/>
    </row>
    <row r="3" spans="1:5">
      <c r="A3" s="63"/>
      <c r="B3" s="292" t="s">
        <v>360</v>
      </c>
      <c r="C3" s="292"/>
      <c r="D3" s="292"/>
      <c r="E3" s="292"/>
    </row>
    <row r="4" spans="1:5">
      <c r="A4" s="63"/>
      <c r="B4" s="294" t="s">
        <v>198</v>
      </c>
      <c r="C4" s="294"/>
      <c r="D4" s="294"/>
      <c r="E4" s="294"/>
    </row>
    <row r="5" spans="1:5">
      <c r="A5" s="63"/>
      <c r="B5" s="64"/>
      <c r="C5" s="64"/>
    </row>
    <row r="6" spans="1:5" ht="15.75">
      <c r="A6" s="295" t="s">
        <v>197</v>
      </c>
      <c r="B6" s="295"/>
      <c r="C6" s="295"/>
      <c r="D6" s="295"/>
      <c r="E6" s="295"/>
    </row>
    <row r="7" spans="1:5" ht="18.75">
      <c r="A7" s="63"/>
      <c r="B7" s="65"/>
      <c r="C7" s="291" t="s">
        <v>1</v>
      </c>
      <c r="D7" s="291"/>
      <c r="E7" s="291"/>
    </row>
    <row r="8" spans="1:5" ht="75">
      <c r="A8" s="66" t="s">
        <v>119</v>
      </c>
      <c r="B8" s="67" t="s">
        <v>120</v>
      </c>
      <c r="C8" s="67" t="s">
        <v>121</v>
      </c>
      <c r="D8" s="67" t="s">
        <v>122</v>
      </c>
      <c r="E8" s="68" t="s">
        <v>123</v>
      </c>
    </row>
    <row r="9" spans="1:5">
      <c r="A9" s="69">
        <v>1</v>
      </c>
      <c r="B9" s="70">
        <v>2</v>
      </c>
      <c r="C9" s="71">
        <v>3</v>
      </c>
      <c r="D9" s="72">
        <v>4</v>
      </c>
      <c r="E9" s="72">
        <v>5</v>
      </c>
    </row>
    <row r="10" spans="1:5">
      <c r="A10" s="78" t="s">
        <v>124</v>
      </c>
      <c r="B10" s="79" t="s">
        <v>125</v>
      </c>
      <c r="C10" s="80">
        <f>C11+C13+C15+C18+C20+C23+C26+C28+C31</f>
        <v>149272.88983999999</v>
      </c>
      <c r="D10" s="80">
        <f>D11+D13+D15+D18+D20+D23+D26+D28+D31</f>
        <v>134832.51320999998</v>
      </c>
      <c r="E10" s="106">
        <f>D10/C10*100</f>
        <v>90.326189406878825</v>
      </c>
    </row>
    <row r="11" spans="1:5" ht="18" customHeight="1">
      <c r="A11" s="81" t="s">
        <v>126</v>
      </c>
      <c r="B11" s="82" t="s">
        <v>127</v>
      </c>
      <c r="C11" s="83">
        <f>C12</f>
        <v>8500</v>
      </c>
      <c r="D11" s="83">
        <f>D12</f>
        <v>7542.1623099999997</v>
      </c>
      <c r="E11" s="107">
        <f t="shared" ref="E11:E40" si="0">D11/C11*100</f>
        <v>88.731321294117649</v>
      </c>
    </row>
    <row r="12" spans="1:5" ht="105" customHeight="1">
      <c r="A12" s="84" t="s">
        <v>169</v>
      </c>
      <c r="B12" s="82" t="s">
        <v>170</v>
      </c>
      <c r="C12" s="83">
        <f>8500000/1000</f>
        <v>8500</v>
      </c>
      <c r="D12" s="83">
        <f>7542162.31/1000</f>
        <v>7542.1623099999997</v>
      </c>
      <c r="E12" s="107">
        <f t="shared" si="0"/>
        <v>88.731321294117649</v>
      </c>
    </row>
    <row r="13" spans="1:5" ht="19.5" customHeight="1">
      <c r="A13" s="81" t="s">
        <v>128</v>
      </c>
      <c r="B13" s="82" t="s">
        <v>129</v>
      </c>
      <c r="C13" s="83">
        <f>SUM(C14:C14)</f>
        <v>6</v>
      </c>
      <c r="D13" s="83">
        <f>SUM(D14:D14)</f>
        <v>5.53064</v>
      </c>
      <c r="E13" s="107">
        <f t="shared" si="0"/>
        <v>92.177333333333337</v>
      </c>
    </row>
    <row r="14" spans="1:5" ht="18" customHeight="1">
      <c r="A14" s="84" t="s">
        <v>171</v>
      </c>
      <c r="B14" s="82" t="s">
        <v>130</v>
      </c>
      <c r="C14" s="83">
        <f>6000/1000</f>
        <v>6</v>
      </c>
      <c r="D14" s="83">
        <f>5530.64/1000</f>
        <v>5.53064</v>
      </c>
      <c r="E14" s="107">
        <f t="shared" si="0"/>
        <v>92.177333333333337</v>
      </c>
    </row>
    <row r="15" spans="1:5" ht="17.25" customHeight="1">
      <c r="A15" s="81" t="s">
        <v>131</v>
      </c>
      <c r="B15" s="82" t="s">
        <v>132</v>
      </c>
      <c r="C15" s="83">
        <f>SUM(C16:C17)</f>
        <v>137598.91584</v>
      </c>
      <c r="D15" s="83">
        <f>SUM(D16:D17)</f>
        <v>124864.28002999999</v>
      </c>
      <c r="E15" s="107">
        <f t="shared" si="0"/>
        <v>90.745104543695803</v>
      </c>
    </row>
    <row r="16" spans="1:5" ht="18" customHeight="1">
      <c r="A16" s="84" t="s">
        <v>172</v>
      </c>
      <c r="B16" s="82" t="s">
        <v>133</v>
      </c>
      <c r="C16" s="85">
        <f>(8996000-1290000-33175.69-1000-2056340.43-5.56)/1000</f>
        <v>5615.4783200000002</v>
      </c>
      <c r="D16" s="83">
        <f>5257423.77/1000</f>
        <v>5257.4237699999994</v>
      </c>
      <c r="E16" s="107">
        <f t="shared" si="0"/>
        <v>93.623792496451117</v>
      </c>
    </row>
    <row r="17" spans="1:5" ht="18" customHeight="1">
      <c r="A17" s="84" t="s">
        <v>134</v>
      </c>
      <c r="B17" s="82" t="s">
        <v>135</v>
      </c>
      <c r="C17" s="83">
        <f>(145419550-4500000-8936112.48)/1000</f>
        <v>131983.43752000001</v>
      </c>
      <c r="D17" s="83">
        <f>119606856.26/1000</f>
        <v>119606.85626</v>
      </c>
      <c r="E17" s="107">
        <f t="shared" si="0"/>
        <v>90.622625465316787</v>
      </c>
    </row>
    <row r="18" spans="1:5" ht="57.75" customHeight="1">
      <c r="A18" s="81" t="s">
        <v>136</v>
      </c>
      <c r="B18" s="82" t="s">
        <v>137</v>
      </c>
      <c r="C18" s="83">
        <f>C19</f>
        <v>4.8</v>
      </c>
      <c r="D18" s="83">
        <f>D19</f>
        <v>4.62622</v>
      </c>
      <c r="E18" s="107">
        <f t="shared" si="0"/>
        <v>96.379583333333343</v>
      </c>
    </row>
    <row r="19" spans="1:5" ht="54" customHeight="1">
      <c r="A19" s="86" t="s">
        <v>173</v>
      </c>
      <c r="B19" s="87" t="s">
        <v>138</v>
      </c>
      <c r="C19" s="83">
        <f>(8400-3600)/1000</f>
        <v>4.8</v>
      </c>
      <c r="D19" s="83">
        <f>4626.22/1000</f>
        <v>4.62622</v>
      </c>
      <c r="E19" s="107">
        <f t="shared" si="0"/>
        <v>96.379583333333343</v>
      </c>
    </row>
    <row r="20" spans="1:5" ht="60" customHeight="1">
      <c r="A20" s="81" t="s">
        <v>139</v>
      </c>
      <c r="B20" s="82" t="s">
        <v>140</v>
      </c>
      <c r="C20" s="83">
        <f>C21+C22</f>
        <v>800</v>
      </c>
      <c r="D20" s="83">
        <f>D21+D22</f>
        <v>766.13731000000007</v>
      </c>
      <c r="E20" s="107">
        <f t="shared" si="0"/>
        <v>95.767163750000009</v>
      </c>
    </row>
    <row r="21" spans="1:5" ht="91.5" customHeight="1">
      <c r="A21" s="84" t="s">
        <v>174</v>
      </c>
      <c r="B21" s="88" t="s">
        <v>175</v>
      </c>
      <c r="C21" s="85">
        <f>(500000+290000)/1000</f>
        <v>790</v>
      </c>
      <c r="D21" s="83">
        <f>756818.28/1000</f>
        <v>756.81828000000007</v>
      </c>
      <c r="E21" s="107">
        <f t="shared" si="0"/>
        <v>95.799782278481032</v>
      </c>
    </row>
    <row r="22" spans="1:5" ht="108" customHeight="1">
      <c r="A22" s="84" t="s">
        <v>176</v>
      </c>
      <c r="B22" s="88" t="s">
        <v>177</v>
      </c>
      <c r="C22" s="83">
        <f>10000/1000</f>
        <v>10</v>
      </c>
      <c r="D22" s="83">
        <f>9319.03/1000</f>
        <v>9.3190300000000015</v>
      </c>
      <c r="E22" s="107">
        <f t="shared" si="0"/>
        <v>93.190300000000008</v>
      </c>
    </row>
    <row r="23" spans="1:5" ht="42" customHeight="1">
      <c r="A23" s="81" t="s">
        <v>141</v>
      </c>
      <c r="B23" s="89" t="s">
        <v>178</v>
      </c>
      <c r="C23" s="83">
        <f>C24+C25</f>
        <v>750</v>
      </c>
      <c r="D23" s="83">
        <f>D24+D25</f>
        <v>706.79939999999988</v>
      </c>
      <c r="E23" s="107">
        <f t="shared" si="0"/>
        <v>94.239919999999984</v>
      </c>
    </row>
    <row r="24" spans="1:5" ht="42.75" customHeight="1">
      <c r="A24" s="90" t="s">
        <v>179</v>
      </c>
      <c r="B24" s="88" t="s">
        <v>180</v>
      </c>
      <c r="C24" s="83">
        <f>600000/1000</f>
        <v>600</v>
      </c>
      <c r="D24" s="83">
        <f>561987.5/1000</f>
        <v>561.98749999999995</v>
      </c>
      <c r="E24" s="107">
        <f t="shared" si="0"/>
        <v>93.664583333333326</v>
      </c>
    </row>
    <row r="25" spans="1:5" ht="29.25" customHeight="1">
      <c r="A25" s="90" t="s">
        <v>181</v>
      </c>
      <c r="B25" s="88" t="s">
        <v>182</v>
      </c>
      <c r="C25" s="83">
        <f>150000/1000</f>
        <v>150</v>
      </c>
      <c r="D25" s="83">
        <f>144811.9/1000</f>
        <v>144.81189999999998</v>
      </c>
      <c r="E25" s="107">
        <f t="shared" si="0"/>
        <v>96.541266666666658</v>
      </c>
    </row>
    <row r="26" spans="1:5" ht="42" customHeight="1">
      <c r="A26" s="91" t="s">
        <v>142</v>
      </c>
      <c r="B26" s="92" t="s">
        <v>143</v>
      </c>
      <c r="C26" s="83">
        <f>C27</f>
        <v>1288.0740000000001</v>
      </c>
      <c r="D26" s="83">
        <f>D27</f>
        <v>649.61480000000006</v>
      </c>
      <c r="E26" s="107">
        <f t="shared" si="0"/>
        <v>50.433034126921285</v>
      </c>
    </row>
    <row r="27" spans="1:5" ht="122.25" customHeight="1">
      <c r="A27" s="90" t="s">
        <v>183</v>
      </c>
      <c r="B27" s="88" t="s">
        <v>184</v>
      </c>
      <c r="C27" s="83">
        <f>(2749000-739883-721043)/1000</f>
        <v>1288.0740000000001</v>
      </c>
      <c r="D27" s="83">
        <f>649614.8/1000</f>
        <v>649.61480000000006</v>
      </c>
      <c r="E27" s="107">
        <f t="shared" si="0"/>
        <v>50.433034126921285</v>
      </c>
    </row>
    <row r="28" spans="1:5" ht="25.5">
      <c r="A28" s="91" t="s">
        <v>144</v>
      </c>
      <c r="B28" s="93" t="s">
        <v>145</v>
      </c>
      <c r="C28" s="83">
        <f>C29</f>
        <v>1</v>
      </c>
      <c r="D28" s="83">
        <f>D29</f>
        <v>1</v>
      </c>
      <c r="E28" s="107">
        <f t="shared" si="0"/>
        <v>100</v>
      </c>
    </row>
    <row r="29" spans="1:5" ht="66" customHeight="1">
      <c r="A29" s="94" t="s">
        <v>146</v>
      </c>
      <c r="B29" s="93" t="s">
        <v>147</v>
      </c>
      <c r="C29" s="83">
        <f>C30</f>
        <v>1</v>
      </c>
      <c r="D29" s="83">
        <f>D30</f>
        <v>1</v>
      </c>
      <c r="E29" s="107">
        <f t="shared" si="0"/>
        <v>100</v>
      </c>
    </row>
    <row r="30" spans="1:5" ht="68.25" customHeight="1">
      <c r="A30" s="94" t="s">
        <v>185</v>
      </c>
      <c r="B30" s="93" t="s">
        <v>147</v>
      </c>
      <c r="C30" s="83">
        <f>1000/1000</f>
        <v>1</v>
      </c>
      <c r="D30" s="83">
        <f>1000/1000</f>
        <v>1</v>
      </c>
      <c r="E30" s="107">
        <f t="shared" si="0"/>
        <v>100</v>
      </c>
    </row>
    <row r="31" spans="1:5" ht="19.5" customHeight="1">
      <c r="A31" s="91" t="s">
        <v>148</v>
      </c>
      <c r="B31" s="92" t="s">
        <v>149</v>
      </c>
      <c r="C31" s="83">
        <f>C32</f>
        <v>324.10000000000002</v>
      </c>
      <c r="D31" s="83">
        <f>D32</f>
        <v>292.36250000000001</v>
      </c>
      <c r="E31" s="107">
        <f t="shared" si="0"/>
        <v>90.207497685899412</v>
      </c>
    </row>
    <row r="32" spans="1:5" ht="30.75" customHeight="1">
      <c r="A32" s="95" t="s">
        <v>186</v>
      </c>
      <c r="B32" s="88" t="s">
        <v>187</v>
      </c>
      <c r="C32" s="83">
        <f>(624100-300000)/1000</f>
        <v>324.10000000000002</v>
      </c>
      <c r="D32" s="83">
        <f>292362.5/1000</f>
        <v>292.36250000000001</v>
      </c>
      <c r="E32" s="107">
        <f t="shared" si="0"/>
        <v>90.207497685899412</v>
      </c>
    </row>
    <row r="33" spans="1:5" ht="28.5">
      <c r="A33" s="78" t="s">
        <v>150</v>
      </c>
      <c r="B33" s="105" t="s">
        <v>151</v>
      </c>
      <c r="C33" s="83">
        <f>C34+C38</f>
        <v>8446.51181</v>
      </c>
      <c r="D33" s="83">
        <f>D34+D38</f>
        <v>8446.4796699999988</v>
      </c>
      <c r="E33" s="107">
        <f t="shared" si="0"/>
        <v>99.999619487893654</v>
      </c>
    </row>
    <row r="34" spans="1:5" ht="47.25" customHeight="1">
      <c r="A34" s="81" t="s">
        <v>152</v>
      </c>
      <c r="B34" s="89" t="s">
        <v>188</v>
      </c>
      <c r="C34" s="83">
        <f>C35+C36+C37</f>
        <v>7966.0618100000002</v>
      </c>
      <c r="D34" s="83">
        <f>D35+D36+D37</f>
        <v>7966.0618099999992</v>
      </c>
      <c r="E34" s="107">
        <f t="shared" si="0"/>
        <v>99.999999999999986</v>
      </c>
    </row>
    <row r="35" spans="1:5" ht="42" customHeight="1">
      <c r="A35" s="97" t="s">
        <v>189</v>
      </c>
      <c r="B35" s="98" t="s">
        <v>153</v>
      </c>
      <c r="C35" s="85">
        <f>(6318087.4-188025.56+5.56-5.59)/1000</f>
        <v>6130.0618100000002</v>
      </c>
      <c r="D35" s="83">
        <f>6130061.81/1000</f>
        <v>6130.0618099999992</v>
      </c>
      <c r="E35" s="107">
        <f t="shared" si="0"/>
        <v>99.999999999999986</v>
      </c>
    </row>
    <row r="36" spans="1:5" ht="105" customHeight="1">
      <c r="A36" s="99" t="s">
        <v>190</v>
      </c>
      <c r="B36" s="100" t="s">
        <v>191</v>
      </c>
      <c r="C36" s="85">
        <f>1314000/1000</f>
        <v>1314</v>
      </c>
      <c r="D36" s="83">
        <f>1314000/1000</f>
        <v>1314</v>
      </c>
      <c r="E36" s="107">
        <f t="shared" si="0"/>
        <v>100</v>
      </c>
    </row>
    <row r="37" spans="1:5" ht="52.5" customHeight="1">
      <c r="A37" s="101" t="s">
        <v>192</v>
      </c>
      <c r="B37" s="82" t="s">
        <v>193</v>
      </c>
      <c r="C37" s="83">
        <f>522000/1000</f>
        <v>522</v>
      </c>
      <c r="D37" s="83">
        <f>522000/1000</f>
        <v>522</v>
      </c>
      <c r="E37" s="107">
        <f t="shared" si="0"/>
        <v>100</v>
      </c>
    </row>
    <row r="38" spans="1:5" ht="120.75" customHeight="1">
      <c r="A38" s="102" t="s">
        <v>154</v>
      </c>
      <c r="B38" s="88" t="s">
        <v>194</v>
      </c>
      <c r="C38" s="103">
        <f>C39</f>
        <v>480.45</v>
      </c>
      <c r="D38" s="103">
        <f>D39</f>
        <v>480.41785999999996</v>
      </c>
      <c r="E38" s="107">
        <f t="shared" si="0"/>
        <v>99.993310438130905</v>
      </c>
    </row>
    <row r="39" spans="1:5" ht="41.25" customHeight="1">
      <c r="A39" s="102" t="s">
        <v>195</v>
      </c>
      <c r="B39" s="104" t="s">
        <v>196</v>
      </c>
      <c r="C39" s="103">
        <f>480450/1000</f>
        <v>480.45</v>
      </c>
      <c r="D39" s="83">
        <f>480417.86/1000</f>
        <v>480.41785999999996</v>
      </c>
      <c r="E39" s="107">
        <f t="shared" si="0"/>
        <v>99.993310438130905</v>
      </c>
    </row>
    <row r="40" spans="1:5">
      <c r="A40" s="84"/>
      <c r="B40" s="96" t="s">
        <v>155</v>
      </c>
      <c r="C40" s="80">
        <f>C10+C33</f>
        <v>157719.40164999999</v>
      </c>
      <c r="D40" s="80">
        <f>D10+D33</f>
        <v>143278.99287999998</v>
      </c>
      <c r="E40" s="107">
        <f t="shared" si="0"/>
        <v>90.8442407091772</v>
      </c>
    </row>
  </sheetData>
  <mergeCells count="6">
    <mergeCell ref="C7:E7"/>
    <mergeCell ref="B1:E1"/>
    <mergeCell ref="A2:E2"/>
    <mergeCell ref="B3:E3"/>
    <mergeCell ref="B4:E4"/>
    <mergeCell ref="A6:E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topLeftCell="A220" zoomScale="60" workbookViewId="0">
      <selection activeCell="A2" sqref="A2:I2"/>
    </sheetView>
  </sheetViews>
  <sheetFormatPr defaultRowHeight="15"/>
  <cols>
    <col min="1" max="1" width="45.85546875" customWidth="1"/>
    <col min="2" max="2" width="8.7109375" customWidth="1"/>
    <col min="3" max="4" width="7.42578125" customWidth="1"/>
    <col min="5" max="5" width="10.7109375" customWidth="1"/>
    <col min="6" max="6" width="7.7109375" customWidth="1"/>
    <col min="7" max="7" width="11.28515625" customWidth="1"/>
    <col min="8" max="8" width="10.7109375" customWidth="1"/>
    <col min="9" max="9" width="10.85546875" customWidth="1"/>
  </cols>
  <sheetData>
    <row r="1" spans="1:9">
      <c r="A1" s="297" t="s">
        <v>0</v>
      </c>
      <c r="B1" s="297"/>
      <c r="C1" s="297"/>
      <c r="D1" s="297"/>
      <c r="E1" s="297"/>
      <c r="F1" s="297"/>
      <c r="G1" s="297"/>
      <c r="H1" s="297"/>
      <c r="I1" s="297"/>
    </row>
    <row r="2" spans="1:9">
      <c r="A2" s="298" t="s">
        <v>359</v>
      </c>
      <c r="B2" s="298"/>
      <c r="C2" s="298"/>
      <c r="D2" s="298"/>
      <c r="E2" s="298"/>
      <c r="F2" s="298"/>
      <c r="G2" s="298"/>
      <c r="H2" s="298"/>
      <c r="I2" s="298"/>
    </row>
    <row r="3" spans="1:9">
      <c r="A3" s="298" t="s">
        <v>360</v>
      </c>
      <c r="B3" s="298"/>
      <c r="C3" s="298"/>
      <c r="D3" s="298"/>
      <c r="E3" s="298"/>
      <c r="F3" s="298"/>
      <c r="G3" s="298"/>
      <c r="H3" s="298"/>
      <c r="I3" s="298"/>
    </row>
    <row r="4" spans="1:9">
      <c r="A4" s="299" t="s">
        <v>198</v>
      </c>
      <c r="B4" s="299"/>
      <c r="C4" s="299"/>
      <c r="D4" s="299"/>
      <c r="E4" s="299"/>
      <c r="F4" s="299"/>
      <c r="G4" s="299"/>
      <c r="H4" s="299"/>
      <c r="I4" s="299"/>
    </row>
    <row r="5" spans="1:9" ht="15.75">
      <c r="A5" s="3"/>
      <c r="B5" s="7"/>
      <c r="C5" s="6"/>
      <c r="D5" s="6"/>
      <c r="E5" s="1"/>
      <c r="F5" s="2"/>
      <c r="G5" s="2"/>
      <c r="H5" s="1"/>
      <c r="I5" s="1"/>
    </row>
    <row r="6" spans="1:9" ht="15.75">
      <c r="A6" s="300" t="s">
        <v>199</v>
      </c>
      <c r="B6" s="300"/>
      <c r="C6" s="300"/>
      <c r="D6" s="300"/>
      <c r="E6" s="300"/>
      <c r="F6" s="300"/>
      <c r="G6" s="300"/>
      <c r="H6" s="300"/>
      <c r="I6" s="300"/>
    </row>
    <row r="7" spans="1:9" ht="15.75">
      <c r="A7" s="4"/>
      <c r="B7" s="8"/>
      <c r="C7" s="4"/>
      <c r="D7" s="4"/>
      <c r="E7" s="1"/>
      <c r="F7" s="1"/>
      <c r="G7" s="1"/>
      <c r="H7" s="1"/>
      <c r="I7" s="1"/>
    </row>
    <row r="8" spans="1:9" ht="15.75">
      <c r="A8" s="5"/>
      <c r="B8" s="9"/>
      <c r="C8" s="1"/>
      <c r="D8" s="1"/>
      <c r="E8" s="1"/>
      <c r="F8" s="1"/>
      <c r="G8" s="296" t="s">
        <v>1</v>
      </c>
      <c r="H8" s="296"/>
      <c r="I8" s="296"/>
    </row>
    <row r="9" spans="1:9" ht="25.5" customHeight="1">
      <c r="A9" s="119"/>
      <c r="B9" s="119" t="s">
        <v>2</v>
      </c>
      <c r="C9" s="119" t="s">
        <v>3</v>
      </c>
      <c r="D9" s="119" t="s">
        <v>4</v>
      </c>
      <c r="E9" s="119" t="s">
        <v>5</v>
      </c>
      <c r="F9" s="119" t="s">
        <v>6</v>
      </c>
      <c r="G9" s="195" t="s">
        <v>7</v>
      </c>
      <c r="H9" s="196" t="s">
        <v>8</v>
      </c>
      <c r="I9" s="280" t="s">
        <v>9</v>
      </c>
    </row>
    <row r="10" spans="1:9" ht="25.5">
      <c r="A10" s="120" t="s">
        <v>10</v>
      </c>
      <c r="B10" s="121">
        <v>940</v>
      </c>
      <c r="C10" s="122"/>
      <c r="D10" s="122"/>
      <c r="E10" s="122"/>
      <c r="F10" s="122"/>
      <c r="G10" s="123">
        <f>G11+G57+G64+G71+G85+G135+G179+G185+G207</f>
        <v>154644.34458999999</v>
      </c>
      <c r="H10" s="123">
        <f>H11+H57+H64+H71+H85+H135+H179+H185+H207</f>
        <v>148699.25182</v>
      </c>
      <c r="I10" s="220">
        <f>H10/G10*100</f>
        <v>96.155635186167416</v>
      </c>
    </row>
    <row r="11" spans="1:9">
      <c r="A11" s="124" t="s">
        <v>11</v>
      </c>
      <c r="B11" s="125">
        <v>940</v>
      </c>
      <c r="C11" s="126" t="s">
        <v>12</v>
      </c>
      <c r="D11" s="126"/>
      <c r="E11" s="126"/>
      <c r="F11" s="126"/>
      <c r="G11" s="127">
        <f>G12+G19+G34+G38</f>
        <v>23302.894819999994</v>
      </c>
      <c r="H11" s="127">
        <f>H12+H19+H34+H38</f>
        <v>19944.513459999995</v>
      </c>
      <c r="I11" s="221">
        <f t="shared" ref="I11:I74" si="0">H11/G11*100</f>
        <v>85.588136641643217</v>
      </c>
    </row>
    <row r="12" spans="1:9" ht="25.5">
      <c r="A12" s="128" t="s">
        <v>13</v>
      </c>
      <c r="B12" s="129">
        <v>940</v>
      </c>
      <c r="C12" s="130" t="s">
        <v>12</v>
      </c>
      <c r="D12" s="130" t="s">
        <v>14</v>
      </c>
      <c r="E12" s="130"/>
      <c r="F12" s="130"/>
      <c r="G12" s="131">
        <f t="shared" ref="G12:H14" si="1">G13</f>
        <v>2030.4860299999998</v>
      </c>
      <c r="H12" s="131">
        <f t="shared" si="1"/>
        <v>2030.4860299999998</v>
      </c>
      <c r="I12" s="222">
        <f t="shared" si="0"/>
        <v>100</v>
      </c>
    </row>
    <row r="13" spans="1:9" ht="25.5">
      <c r="A13" s="109" t="s">
        <v>200</v>
      </c>
      <c r="B13" s="132">
        <v>940</v>
      </c>
      <c r="C13" s="133" t="s">
        <v>12</v>
      </c>
      <c r="D13" s="133" t="s">
        <v>14</v>
      </c>
      <c r="E13" s="133" t="s">
        <v>201</v>
      </c>
      <c r="F13" s="133"/>
      <c r="G13" s="134">
        <f t="shared" si="1"/>
        <v>2030.4860299999998</v>
      </c>
      <c r="H13" s="134">
        <f t="shared" si="1"/>
        <v>2030.4860299999998</v>
      </c>
      <c r="I13" s="118">
        <f t="shared" si="0"/>
        <v>100</v>
      </c>
    </row>
    <row r="14" spans="1:9">
      <c r="A14" s="109" t="s">
        <v>21</v>
      </c>
      <c r="B14" s="132">
        <v>940</v>
      </c>
      <c r="C14" s="133" t="s">
        <v>12</v>
      </c>
      <c r="D14" s="133" t="s">
        <v>14</v>
      </c>
      <c r="E14" s="133" t="s">
        <v>202</v>
      </c>
      <c r="F14" s="133"/>
      <c r="G14" s="134">
        <f t="shared" si="1"/>
        <v>2030.4860299999998</v>
      </c>
      <c r="H14" s="134">
        <f t="shared" si="1"/>
        <v>2030.4860299999998</v>
      </c>
      <c r="I14" s="118">
        <f t="shared" si="0"/>
        <v>100</v>
      </c>
    </row>
    <row r="15" spans="1:9" ht="25.5">
      <c r="A15" s="109" t="s">
        <v>15</v>
      </c>
      <c r="B15" s="132">
        <v>940</v>
      </c>
      <c r="C15" s="133" t="s">
        <v>12</v>
      </c>
      <c r="D15" s="133" t="s">
        <v>14</v>
      </c>
      <c r="E15" s="133" t="s">
        <v>202</v>
      </c>
      <c r="F15" s="133" t="s">
        <v>16</v>
      </c>
      <c r="G15" s="134">
        <f>G16+G17+G18</f>
        <v>2030.4860299999998</v>
      </c>
      <c r="H15" s="134">
        <f>H16+H17+H18</f>
        <v>2030.4860299999998</v>
      </c>
      <c r="I15" s="118">
        <f t="shared" si="0"/>
        <v>100</v>
      </c>
    </row>
    <row r="16" spans="1:9" ht="25.5">
      <c r="A16" s="109" t="s">
        <v>203</v>
      </c>
      <c r="B16" s="132">
        <v>940</v>
      </c>
      <c r="C16" s="133" t="s">
        <v>12</v>
      </c>
      <c r="D16" s="133" t="s">
        <v>14</v>
      </c>
      <c r="E16" s="133" t="s">
        <v>202</v>
      </c>
      <c r="F16" s="133" t="s">
        <v>17</v>
      </c>
      <c r="G16" s="134">
        <f>(1516497+18000+50000-19370.01)/1000</f>
        <v>1565.12699</v>
      </c>
      <c r="H16" s="135">
        <f>1565126.99/1000</f>
        <v>1565.12699</v>
      </c>
      <c r="I16" s="118">
        <f t="shared" si="0"/>
        <v>100</v>
      </c>
    </row>
    <row r="17" spans="1:9" ht="38.25">
      <c r="A17" s="109" t="s">
        <v>204</v>
      </c>
      <c r="B17" s="132">
        <v>940</v>
      </c>
      <c r="C17" s="133" t="s">
        <v>12</v>
      </c>
      <c r="D17" s="133" t="s">
        <v>14</v>
      </c>
      <c r="E17" s="133" t="s">
        <v>202</v>
      </c>
      <c r="F17" s="133" t="s">
        <v>18</v>
      </c>
      <c r="G17" s="134">
        <f>(93600-981)/1000</f>
        <v>92.619</v>
      </c>
      <c r="H17" s="135">
        <f>92619/1000</f>
        <v>92.619</v>
      </c>
      <c r="I17" s="118">
        <f t="shared" si="0"/>
        <v>100</v>
      </c>
    </row>
    <row r="18" spans="1:9" ht="51">
      <c r="A18" s="109" t="s">
        <v>205</v>
      </c>
      <c r="B18" s="136">
        <v>940</v>
      </c>
      <c r="C18" s="133" t="s">
        <v>12</v>
      </c>
      <c r="D18" s="133" t="s">
        <v>14</v>
      </c>
      <c r="E18" s="133" t="s">
        <v>202</v>
      </c>
      <c r="F18" s="133" t="s">
        <v>206</v>
      </c>
      <c r="G18" s="134">
        <f>(458003-18000-67000-262.96)/1000</f>
        <v>372.74003999999996</v>
      </c>
      <c r="H18" s="135">
        <f>372740.04/1000</f>
        <v>372.74003999999996</v>
      </c>
      <c r="I18" s="118">
        <f t="shared" si="0"/>
        <v>100</v>
      </c>
    </row>
    <row r="19" spans="1:9" ht="38.25">
      <c r="A19" s="128" t="s">
        <v>19</v>
      </c>
      <c r="B19" s="129">
        <v>940</v>
      </c>
      <c r="C19" s="130" t="s">
        <v>12</v>
      </c>
      <c r="D19" s="130" t="s">
        <v>20</v>
      </c>
      <c r="E19" s="130"/>
      <c r="F19" s="130"/>
      <c r="G19" s="131">
        <f>G20+G31</f>
        <v>16840.950729999997</v>
      </c>
      <c r="H19" s="131">
        <f>H20+H31</f>
        <v>16840.950729999997</v>
      </c>
      <c r="I19" s="222">
        <f t="shared" si="0"/>
        <v>100</v>
      </c>
    </row>
    <row r="20" spans="1:9" ht="25.5">
      <c r="A20" s="109" t="s">
        <v>200</v>
      </c>
      <c r="B20" s="132">
        <v>940</v>
      </c>
      <c r="C20" s="133" t="s">
        <v>12</v>
      </c>
      <c r="D20" s="133" t="s">
        <v>20</v>
      </c>
      <c r="E20" s="133" t="s">
        <v>201</v>
      </c>
      <c r="F20" s="133"/>
      <c r="G20" s="134">
        <f>G21</f>
        <v>16737.638059999997</v>
      </c>
      <c r="H20" s="134">
        <f>H21</f>
        <v>16737.638059999997</v>
      </c>
      <c r="I20" s="118">
        <f t="shared" si="0"/>
        <v>100</v>
      </c>
    </row>
    <row r="21" spans="1:9">
      <c r="A21" s="109" t="s">
        <v>21</v>
      </c>
      <c r="B21" s="132">
        <v>940</v>
      </c>
      <c r="C21" s="133" t="s">
        <v>12</v>
      </c>
      <c r="D21" s="133" t="s">
        <v>20</v>
      </c>
      <c r="E21" s="133" t="s">
        <v>202</v>
      </c>
      <c r="F21" s="133"/>
      <c r="G21" s="134">
        <f>G22+G26+G28</f>
        <v>16737.638059999997</v>
      </c>
      <c r="H21" s="134">
        <f>H22+H26+H28</f>
        <v>16737.638059999997</v>
      </c>
      <c r="I21" s="118">
        <f t="shared" si="0"/>
        <v>100</v>
      </c>
    </row>
    <row r="22" spans="1:9" ht="25.5">
      <c r="A22" s="109" t="s">
        <v>15</v>
      </c>
      <c r="B22" s="132">
        <v>940</v>
      </c>
      <c r="C22" s="133" t="s">
        <v>12</v>
      </c>
      <c r="D22" s="133" t="s">
        <v>20</v>
      </c>
      <c r="E22" s="133" t="s">
        <v>202</v>
      </c>
      <c r="F22" s="133" t="s">
        <v>16</v>
      </c>
      <c r="G22" s="134">
        <f>G23+G24+G25</f>
        <v>11617.763029999998</v>
      </c>
      <c r="H22" s="134">
        <f>H23+H24+H25</f>
        <v>11617.763029999998</v>
      </c>
      <c r="I22" s="118">
        <f t="shared" si="0"/>
        <v>100</v>
      </c>
    </row>
    <row r="23" spans="1:9" ht="25.5">
      <c r="A23" s="109" t="s">
        <v>203</v>
      </c>
      <c r="B23" s="132">
        <v>940</v>
      </c>
      <c r="C23" s="133" t="s">
        <v>12</v>
      </c>
      <c r="D23" s="133" t="s">
        <v>20</v>
      </c>
      <c r="E23" s="133" t="s">
        <v>202</v>
      </c>
      <c r="F23" s="133" t="s">
        <v>17</v>
      </c>
      <c r="G23" s="137">
        <f>(11017500-1750974.35)/1000</f>
        <v>9266.5256499999996</v>
      </c>
      <c r="H23" s="138">
        <f>9266525.65/1000</f>
        <v>9266.5256499999996</v>
      </c>
      <c r="I23" s="118">
        <f t="shared" si="0"/>
        <v>100</v>
      </c>
    </row>
    <row r="24" spans="1:9" ht="38.25">
      <c r="A24" s="109" t="s">
        <v>204</v>
      </c>
      <c r="B24" s="132">
        <v>940</v>
      </c>
      <c r="C24" s="133" t="s">
        <v>12</v>
      </c>
      <c r="D24" s="133" t="s">
        <v>20</v>
      </c>
      <c r="E24" s="133" t="s">
        <v>202</v>
      </c>
      <c r="F24" s="133" t="s">
        <v>18</v>
      </c>
      <c r="G24" s="139">
        <f>(20000-19590)/1000</f>
        <v>0.41</v>
      </c>
      <c r="H24" s="138">
        <f>410/1000</f>
        <v>0.41</v>
      </c>
      <c r="I24" s="118">
        <f t="shared" si="0"/>
        <v>100</v>
      </c>
    </row>
    <row r="25" spans="1:9" ht="51">
      <c r="A25" s="109" t="s">
        <v>205</v>
      </c>
      <c r="B25" s="132">
        <v>940</v>
      </c>
      <c r="C25" s="133" t="s">
        <v>12</v>
      </c>
      <c r="D25" s="133" t="s">
        <v>20</v>
      </c>
      <c r="E25" s="133" t="s">
        <v>202</v>
      </c>
      <c r="F25" s="133" t="s">
        <v>206</v>
      </c>
      <c r="G25" s="134">
        <f>(3327200-976372.62)/1000</f>
        <v>2350.8273799999997</v>
      </c>
      <c r="H25" s="138">
        <f>2350827.38/1000</f>
        <v>2350.8273799999997</v>
      </c>
      <c r="I25" s="118">
        <f t="shared" si="0"/>
        <v>100</v>
      </c>
    </row>
    <row r="26" spans="1:9" ht="25.5">
      <c r="A26" s="108" t="s">
        <v>22</v>
      </c>
      <c r="B26" s="132">
        <v>940</v>
      </c>
      <c r="C26" s="133" t="s">
        <v>12</v>
      </c>
      <c r="D26" s="133" t="s">
        <v>20</v>
      </c>
      <c r="E26" s="133" t="s">
        <v>202</v>
      </c>
      <c r="F26" s="133" t="s">
        <v>23</v>
      </c>
      <c r="G26" s="139">
        <f>G27</f>
        <v>4925.5057400000005</v>
      </c>
      <c r="H26" s="139">
        <f>H27</f>
        <v>4925.5057400000005</v>
      </c>
      <c r="I26" s="118">
        <f t="shared" si="0"/>
        <v>100</v>
      </c>
    </row>
    <row r="27" spans="1:9" ht="25.5">
      <c r="A27" s="108" t="s">
        <v>207</v>
      </c>
      <c r="B27" s="140">
        <v>940</v>
      </c>
      <c r="C27" s="133" t="s">
        <v>12</v>
      </c>
      <c r="D27" s="133" t="s">
        <v>20</v>
      </c>
      <c r="E27" s="133" t="s">
        <v>202</v>
      </c>
      <c r="F27" s="133" t="s">
        <v>24</v>
      </c>
      <c r="G27" s="139">
        <f>(5093250-167744.26)/1000</f>
        <v>4925.5057400000005</v>
      </c>
      <c r="H27" s="138">
        <f>4925505.74/1000</f>
        <v>4925.5057400000005</v>
      </c>
      <c r="I27" s="118">
        <f t="shared" si="0"/>
        <v>100</v>
      </c>
    </row>
    <row r="28" spans="1:9">
      <c r="A28" s="108" t="s">
        <v>25</v>
      </c>
      <c r="B28" s="140">
        <v>940</v>
      </c>
      <c r="C28" s="133" t="s">
        <v>12</v>
      </c>
      <c r="D28" s="133" t="s">
        <v>20</v>
      </c>
      <c r="E28" s="133" t="s">
        <v>202</v>
      </c>
      <c r="F28" s="133" t="s">
        <v>26</v>
      </c>
      <c r="G28" s="139">
        <f>G29+G30</f>
        <v>194.36929000000001</v>
      </c>
      <c r="H28" s="139">
        <f>H29+H30</f>
        <v>194.36929000000001</v>
      </c>
      <c r="I28" s="118">
        <f t="shared" si="0"/>
        <v>100</v>
      </c>
    </row>
    <row r="29" spans="1:9" ht="25.5">
      <c r="A29" s="108" t="s">
        <v>27</v>
      </c>
      <c r="B29" s="140">
        <v>940</v>
      </c>
      <c r="C29" s="133" t="s">
        <v>12</v>
      </c>
      <c r="D29" s="133" t="s">
        <v>20</v>
      </c>
      <c r="E29" s="133" t="s">
        <v>202</v>
      </c>
      <c r="F29" s="141" t="s">
        <v>28</v>
      </c>
      <c r="G29" s="139">
        <f>(100000-23500-15463)/1000</f>
        <v>61.036999999999999</v>
      </c>
      <c r="H29" s="138">
        <f>61037/1000</f>
        <v>61.036999999999999</v>
      </c>
      <c r="I29" s="118">
        <f t="shared" si="0"/>
        <v>100</v>
      </c>
    </row>
    <row r="30" spans="1:9">
      <c r="A30" s="108" t="s">
        <v>208</v>
      </c>
      <c r="B30" s="140">
        <v>940</v>
      </c>
      <c r="C30" s="133" t="s">
        <v>12</v>
      </c>
      <c r="D30" s="133" t="s">
        <v>20</v>
      </c>
      <c r="E30" s="133" t="s">
        <v>202</v>
      </c>
      <c r="F30" s="141" t="s">
        <v>29</v>
      </c>
      <c r="G30" s="139">
        <f>(110000+23500-167.71)/1000</f>
        <v>133.33229</v>
      </c>
      <c r="H30" s="138">
        <f>133332.29/1000</f>
        <v>133.33229</v>
      </c>
      <c r="I30" s="118">
        <f t="shared" si="0"/>
        <v>100</v>
      </c>
    </row>
    <row r="31" spans="1:9">
      <c r="A31" s="108" t="s">
        <v>209</v>
      </c>
      <c r="B31" s="136">
        <v>940</v>
      </c>
      <c r="C31" s="133" t="s">
        <v>12</v>
      </c>
      <c r="D31" s="133" t="s">
        <v>20</v>
      </c>
      <c r="E31" s="142" t="s">
        <v>210</v>
      </c>
      <c r="F31" s="133"/>
      <c r="G31" s="139">
        <f>G32</f>
        <v>103.31267</v>
      </c>
      <c r="H31" s="139">
        <f>H32</f>
        <v>103.31267</v>
      </c>
      <c r="I31" s="118">
        <f t="shared" si="0"/>
        <v>100</v>
      </c>
    </row>
    <row r="32" spans="1:9" ht="25.5">
      <c r="A32" s="108" t="s">
        <v>22</v>
      </c>
      <c r="B32" s="140">
        <v>940</v>
      </c>
      <c r="C32" s="133" t="s">
        <v>12</v>
      </c>
      <c r="D32" s="133" t="s">
        <v>20</v>
      </c>
      <c r="E32" s="142" t="s">
        <v>211</v>
      </c>
      <c r="F32" s="133" t="s">
        <v>23</v>
      </c>
      <c r="G32" s="139">
        <f>G33</f>
        <v>103.31267</v>
      </c>
      <c r="H32" s="139">
        <f>H33</f>
        <v>103.31267</v>
      </c>
      <c r="I32" s="118">
        <f t="shared" si="0"/>
        <v>100</v>
      </c>
    </row>
    <row r="33" spans="1:9" ht="25.5">
      <c r="A33" s="108" t="s">
        <v>207</v>
      </c>
      <c r="B33" s="140">
        <v>940</v>
      </c>
      <c r="C33" s="133" t="s">
        <v>12</v>
      </c>
      <c r="D33" s="133" t="s">
        <v>20</v>
      </c>
      <c r="E33" s="142" t="s">
        <v>211</v>
      </c>
      <c r="F33" s="133" t="s">
        <v>24</v>
      </c>
      <c r="G33" s="139">
        <f>(110000-6687.33)/1000</f>
        <v>103.31267</v>
      </c>
      <c r="H33" s="138">
        <f>103312.67/1000</f>
        <v>103.31267</v>
      </c>
      <c r="I33" s="118">
        <f t="shared" si="0"/>
        <v>100</v>
      </c>
    </row>
    <row r="34" spans="1:9" ht="38.25">
      <c r="A34" s="223" t="s">
        <v>35</v>
      </c>
      <c r="B34" s="224">
        <v>940</v>
      </c>
      <c r="C34" s="214" t="s">
        <v>12</v>
      </c>
      <c r="D34" s="214" t="s">
        <v>36</v>
      </c>
      <c r="E34" s="214"/>
      <c r="F34" s="214"/>
      <c r="G34" s="216">
        <f t="shared" ref="G34:H36" si="2">G35</f>
        <v>147.80000000000001</v>
      </c>
      <c r="H34" s="216">
        <f t="shared" si="2"/>
        <v>147.80000000000001</v>
      </c>
      <c r="I34" s="222">
        <f t="shared" si="0"/>
        <v>100</v>
      </c>
    </row>
    <row r="35" spans="1:9">
      <c r="A35" s="143" t="s">
        <v>37</v>
      </c>
      <c r="B35" s="136">
        <v>940</v>
      </c>
      <c r="C35" s="112" t="s">
        <v>12</v>
      </c>
      <c r="D35" s="112" t="s">
        <v>36</v>
      </c>
      <c r="E35" s="142" t="s">
        <v>212</v>
      </c>
      <c r="F35" s="141"/>
      <c r="G35" s="139">
        <f t="shared" si="2"/>
        <v>147.80000000000001</v>
      </c>
      <c r="H35" s="139">
        <f t="shared" si="2"/>
        <v>147.80000000000001</v>
      </c>
      <c r="I35" s="118">
        <f t="shared" si="0"/>
        <v>100</v>
      </c>
    </row>
    <row r="36" spans="1:9" ht="89.25">
      <c r="A36" s="108" t="s">
        <v>213</v>
      </c>
      <c r="B36" s="140">
        <v>940</v>
      </c>
      <c r="C36" s="112" t="s">
        <v>12</v>
      </c>
      <c r="D36" s="112" t="s">
        <v>36</v>
      </c>
      <c r="E36" s="142" t="s">
        <v>214</v>
      </c>
      <c r="F36" s="141"/>
      <c r="G36" s="139">
        <f t="shared" si="2"/>
        <v>147.80000000000001</v>
      </c>
      <c r="H36" s="139">
        <f t="shared" si="2"/>
        <v>147.80000000000001</v>
      </c>
      <c r="I36" s="118">
        <f t="shared" si="0"/>
        <v>100</v>
      </c>
    </row>
    <row r="37" spans="1:9">
      <c r="A37" s="108" t="s">
        <v>33</v>
      </c>
      <c r="B37" s="140">
        <v>940</v>
      </c>
      <c r="C37" s="112" t="s">
        <v>12</v>
      </c>
      <c r="D37" s="112" t="s">
        <v>36</v>
      </c>
      <c r="E37" s="142" t="s">
        <v>214</v>
      </c>
      <c r="F37" s="133" t="s">
        <v>34</v>
      </c>
      <c r="G37" s="144">
        <f>147800/1000</f>
        <v>147.80000000000001</v>
      </c>
      <c r="H37" s="138">
        <f>147800/1000</f>
        <v>147.80000000000001</v>
      </c>
      <c r="I37" s="118">
        <f t="shared" si="0"/>
        <v>100</v>
      </c>
    </row>
    <row r="38" spans="1:9">
      <c r="A38" s="128" t="s">
        <v>39</v>
      </c>
      <c r="B38" s="129">
        <v>940</v>
      </c>
      <c r="C38" s="130" t="s">
        <v>12</v>
      </c>
      <c r="D38" s="130" t="s">
        <v>40</v>
      </c>
      <c r="E38" s="130"/>
      <c r="F38" s="130"/>
      <c r="G38" s="145">
        <f>G39+G55</f>
        <v>4283.6580599999998</v>
      </c>
      <c r="H38" s="145">
        <f>H39+H55</f>
        <v>925.27670000000001</v>
      </c>
      <c r="I38" s="222">
        <f t="shared" si="0"/>
        <v>21.600153117730411</v>
      </c>
    </row>
    <row r="39" spans="1:9">
      <c r="A39" s="109" t="s">
        <v>215</v>
      </c>
      <c r="B39" s="132">
        <v>940</v>
      </c>
      <c r="C39" s="133" t="s">
        <v>12</v>
      </c>
      <c r="D39" s="133" t="s">
        <v>40</v>
      </c>
      <c r="E39" s="133" t="s">
        <v>216</v>
      </c>
      <c r="F39" s="133"/>
      <c r="G39" s="137">
        <f>G40+G43+G46+G52+G49</f>
        <v>3784.1580600000002</v>
      </c>
      <c r="H39" s="137">
        <f>H40+H43+H46+H52+H49</f>
        <v>925.27670000000001</v>
      </c>
      <c r="I39" s="118">
        <f t="shared" si="0"/>
        <v>24.451322733596388</v>
      </c>
    </row>
    <row r="40" spans="1:9">
      <c r="A40" s="109" t="s">
        <v>217</v>
      </c>
      <c r="B40" s="132">
        <v>940</v>
      </c>
      <c r="C40" s="133" t="s">
        <v>12</v>
      </c>
      <c r="D40" s="133" t="s">
        <v>40</v>
      </c>
      <c r="E40" s="133" t="s">
        <v>218</v>
      </c>
      <c r="F40" s="133"/>
      <c r="G40" s="137">
        <f>G41</f>
        <v>847.5</v>
      </c>
      <c r="H40" s="137">
        <f>H41</f>
        <v>350</v>
      </c>
      <c r="I40" s="118">
        <f t="shared" si="0"/>
        <v>41.297935103244839</v>
      </c>
    </row>
    <row r="41" spans="1:9">
      <c r="A41" s="109" t="s">
        <v>217</v>
      </c>
      <c r="B41" s="132">
        <v>940</v>
      </c>
      <c r="C41" s="133" t="s">
        <v>12</v>
      </c>
      <c r="D41" s="133" t="s">
        <v>40</v>
      </c>
      <c r="E41" s="133" t="s">
        <v>218</v>
      </c>
      <c r="F41" s="133" t="s">
        <v>219</v>
      </c>
      <c r="G41" s="137">
        <f>G42</f>
        <v>847.5</v>
      </c>
      <c r="H41" s="137">
        <f>H42</f>
        <v>350</v>
      </c>
      <c r="I41" s="118">
        <f t="shared" si="0"/>
        <v>41.297935103244839</v>
      </c>
    </row>
    <row r="42" spans="1:9">
      <c r="A42" s="108" t="s">
        <v>31</v>
      </c>
      <c r="B42" s="132">
        <v>940</v>
      </c>
      <c r="C42" s="133" t="s">
        <v>12</v>
      </c>
      <c r="D42" s="133" t="s">
        <v>40</v>
      </c>
      <c r="E42" s="133" t="s">
        <v>218</v>
      </c>
      <c r="F42" s="133" t="s">
        <v>32</v>
      </c>
      <c r="G42" s="137">
        <f>(1000000-152500)/1000</f>
        <v>847.5</v>
      </c>
      <c r="H42" s="138">
        <f>350000/1000</f>
        <v>350</v>
      </c>
      <c r="I42" s="118">
        <f t="shared" si="0"/>
        <v>41.297935103244839</v>
      </c>
    </row>
    <row r="43" spans="1:9" ht="25.5">
      <c r="A43" s="108" t="s">
        <v>220</v>
      </c>
      <c r="B43" s="132">
        <v>940</v>
      </c>
      <c r="C43" s="133" t="s">
        <v>12</v>
      </c>
      <c r="D43" s="133" t="s">
        <v>40</v>
      </c>
      <c r="E43" s="133" t="s">
        <v>221</v>
      </c>
      <c r="F43" s="133"/>
      <c r="G43" s="137">
        <f>G44</f>
        <v>21.224700000000002</v>
      </c>
      <c r="H43" s="137">
        <f>H44</f>
        <v>21.224700000000002</v>
      </c>
      <c r="I43" s="118">
        <f t="shared" si="0"/>
        <v>100</v>
      </c>
    </row>
    <row r="44" spans="1:9">
      <c r="A44" s="108" t="s">
        <v>25</v>
      </c>
      <c r="B44" s="132">
        <v>940</v>
      </c>
      <c r="C44" s="133" t="s">
        <v>12</v>
      </c>
      <c r="D44" s="133" t="s">
        <v>40</v>
      </c>
      <c r="E44" s="133" t="s">
        <v>221</v>
      </c>
      <c r="F44" s="133" t="s">
        <v>26</v>
      </c>
      <c r="G44" s="137">
        <f>G45</f>
        <v>21.224700000000002</v>
      </c>
      <c r="H44" s="137">
        <f>H45</f>
        <v>21.224700000000002</v>
      </c>
      <c r="I44" s="118">
        <f t="shared" si="0"/>
        <v>100</v>
      </c>
    </row>
    <row r="45" spans="1:9">
      <c r="A45" s="108" t="s">
        <v>42</v>
      </c>
      <c r="B45" s="132">
        <v>940</v>
      </c>
      <c r="C45" s="133" t="s">
        <v>12</v>
      </c>
      <c r="D45" s="133" t="s">
        <v>40</v>
      </c>
      <c r="E45" s="133" t="s">
        <v>221</v>
      </c>
      <c r="F45" s="133" t="s">
        <v>43</v>
      </c>
      <c r="G45" s="146">
        <f>(20700+524.7)/1000</f>
        <v>21.224700000000002</v>
      </c>
      <c r="H45" s="138">
        <f>21224.7/1000</f>
        <v>21.224700000000002</v>
      </c>
      <c r="I45" s="118">
        <f t="shared" si="0"/>
        <v>100</v>
      </c>
    </row>
    <row r="46" spans="1:9" ht="38.25">
      <c r="A46" s="108" t="s">
        <v>41</v>
      </c>
      <c r="B46" s="132">
        <v>940</v>
      </c>
      <c r="C46" s="133" t="s">
        <v>12</v>
      </c>
      <c r="D46" s="133" t="s">
        <v>40</v>
      </c>
      <c r="E46" s="133" t="s">
        <v>222</v>
      </c>
      <c r="F46" s="133"/>
      <c r="G46" s="146">
        <f>G47</f>
        <v>29.999999999999986</v>
      </c>
      <c r="H46" s="146">
        <f>H47</f>
        <v>30</v>
      </c>
      <c r="I46" s="118">
        <f t="shared" si="0"/>
        <v>100.00000000000004</v>
      </c>
    </row>
    <row r="47" spans="1:9" ht="25.5">
      <c r="A47" s="108" t="s">
        <v>22</v>
      </c>
      <c r="B47" s="132">
        <v>940</v>
      </c>
      <c r="C47" s="133" t="s">
        <v>12</v>
      </c>
      <c r="D47" s="133" t="s">
        <v>40</v>
      </c>
      <c r="E47" s="133" t="s">
        <v>222</v>
      </c>
      <c r="F47" s="133" t="s">
        <v>23</v>
      </c>
      <c r="G47" s="146">
        <f>G48</f>
        <v>29.999999999999986</v>
      </c>
      <c r="H47" s="146">
        <f>H48</f>
        <v>30</v>
      </c>
      <c r="I47" s="118">
        <f t="shared" si="0"/>
        <v>100.00000000000004</v>
      </c>
    </row>
    <row r="48" spans="1:9" ht="25.5">
      <c r="A48" s="108" t="s">
        <v>207</v>
      </c>
      <c r="B48" s="132">
        <v>940</v>
      </c>
      <c r="C48" s="133" t="s">
        <v>12</v>
      </c>
      <c r="D48" s="133" t="s">
        <v>40</v>
      </c>
      <c r="E48" s="133" t="s">
        <v>222</v>
      </c>
      <c r="F48" s="133" t="s">
        <v>24</v>
      </c>
      <c r="G48" s="146">
        <f>(500000-524.7-400000-69475.3)/1000</f>
        <v>29.999999999999986</v>
      </c>
      <c r="H48" s="138">
        <f>30000/1000</f>
        <v>30</v>
      </c>
      <c r="I48" s="118">
        <f t="shared" si="0"/>
        <v>100.00000000000004</v>
      </c>
    </row>
    <row r="49" spans="1:9" ht="25.5">
      <c r="A49" s="108" t="s">
        <v>223</v>
      </c>
      <c r="B49" s="132">
        <v>940</v>
      </c>
      <c r="C49" s="133" t="s">
        <v>12</v>
      </c>
      <c r="D49" s="133" t="s">
        <v>40</v>
      </c>
      <c r="E49" s="133" t="s">
        <v>224</v>
      </c>
      <c r="F49" s="133"/>
      <c r="G49" s="137">
        <f>G50</f>
        <v>2648.7333600000002</v>
      </c>
      <c r="H49" s="137">
        <f>H50</f>
        <v>287.35199999999998</v>
      </c>
      <c r="I49" s="118">
        <f t="shared" si="0"/>
        <v>10.84865711058209</v>
      </c>
    </row>
    <row r="50" spans="1:9" ht="25.5">
      <c r="A50" s="108" t="s">
        <v>22</v>
      </c>
      <c r="B50" s="132">
        <v>940</v>
      </c>
      <c r="C50" s="133" t="s">
        <v>12</v>
      </c>
      <c r="D50" s="133" t="s">
        <v>40</v>
      </c>
      <c r="E50" s="133" t="s">
        <v>224</v>
      </c>
      <c r="F50" s="133" t="s">
        <v>23</v>
      </c>
      <c r="G50" s="137">
        <f>G51</f>
        <v>2648.7333600000002</v>
      </c>
      <c r="H50" s="137">
        <f>H51</f>
        <v>287.35199999999998</v>
      </c>
      <c r="I50" s="118">
        <f t="shared" si="0"/>
        <v>10.84865711058209</v>
      </c>
    </row>
    <row r="51" spans="1:9" ht="25.5">
      <c r="A51" s="108" t="s">
        <v>207</v>
      </c>
      <c r="B51" s="132">
        <v>940</v>
      </c>
      <c r="C51" s="133" t="s">
        <v>12</v>
      </c>
      <c r="D51" s="133" t="s">
        <v>40</v>
      </c>
      <c r="E51" s="133" t="s">
        <v>224</v>
      </c>
      <c r="F51" s="133" t="s">
        <v>24</v>
      </c>
      <c r="G51" s="137">
        <f>(4250000-1601266.64)/1000</f>
        <v>2648.7333600000002</v>
      </c>
      <c r="H51" s="138">
        <f>287352/1000</f>
        <v>287.35199999999998</v>
      </c>
      <c r="I51" s="118">
        <f t="shared" si="0"/>
        <v>10.84865711058209</v>
      </c>
    </row>
    <row r="52" spans="1:9" ht="102">
      <c r="A52" s="108" t="s">
        <v>225</v>
      </c>
      <c r="B52" s="140">
        <v>940</v>
      </c>
      <c r="C52" s="133" t="s">
        <v>12</v>
      </c>
      <c r="D52" s="133" t="s">
        <v>40</v>
      </c>
      <c r="E52" s="142" t="s">
        <v>226</v>
      </c>
      <c r="F52" s="133"/>
      <c r="G52" s="144">
        <f>G53</f>
        <v>236.7</v>
      </c>
      <c r="H52" s="144">
        <f>H53</f>
        <v>236.7</v>
      </c>
      <c r="I52" s="118">
        <f t="shared" si="0"/>
        <v>100</v>
      </c>
    </row>
    <row r="53" spans="1:9">
      <c r="A53" s="108" t="s">
        <v>33</v>
      </c>
      <c r="B53" s="140">
        <v>940</v>
      </c>
      <c r="C53" s="133" t="s">
        <v>12</v>
      </c>
      <c r="D53" s="133" t="s">
        <v>40</v>
      </c>
      <c r="E53" s="142" t="s">
        <v>226</v>
      </c>
      <c r="F53" s="133" t="s">
        <v>34</v>
      </c>
      <c r="G53" s="144">
        <f>236700/1000</f>
        <v>236.7</v>
      </c>
      <c r="H53" s="138">
        <f>236700/1000</f>
        <v>236.7</v>
      </c>
      <c r="I53" s="118">
        <f t="shared" si="0"/>
        <v>100</v>
      </c>
    </row>
    <row r="54" spans="1:9" ht="63.75">
      <c r="A54" s="108" t="s">
        <v>227</v>
      </c>
      <c r="B54" s="140">
        <v>940</v>
      </c>
      <c r="C54" s="133" t="s">
        <v>12</v>
      </c>
      <c r="D54" s="133" t="s">
        <v>40</v>
      </c>
      <c r="E54" s="142" t="s">
        <v>228</v>
      </c>
      <c r="F54" s="133"/>
      <c r="G54" s="144">
        <f>G55</f>
        <v>499.5</v>
      </c>
      <c r="H54" s="144">
        <f>H55</f>
        <v>0</v>
      </c>
      <c r="I54" s="118">
        <f t="shared" si="0"/>
        <v>0</v>
      </c>
    </row>
    <row r="55" spans="1:9">
      <c r="A55" s="143" t="s">
        <v>229</v>
      </c>
      <c r="B55" s="140">
        <v>940</v>
      </c>
      <c r="C55" s="133" t="s">
        <v>12</v>
      </c>
      <c r="D55" s="133" t="s">
        <v>40</v>
      </c>
      <c r="E55" s="142" t="s">
        <v>228</v>
      </c>
      <c r="F55" s="133" t="s">
        <v>230</v>
      </c>
      <c r="G55" s="144">
        <f>G56</f>
        <v>499.5</v>
      </c>
      <c r="H55" s="144">
        <f>H56</f>
        <v>0</v>
      </c>
      <c r="I55" s="118">
        <f t="shared" si="0"/>
        <v>0</v>
      </c>
    </row>
    <row r="56" spans="1:9" ht="38.25">
      <c r="A56" s="108" t="s">
        <v>61</v>
      </c>
      <c r="B56" s="140">
        <v>940</v>
      </c>
      <c r="C56" s="133" t="s">
        <v>12</v>
      </c>
      <c r="D56" s="133" t="s">
        <v>40</v>
      </c>
      <c r="E56" s="142" t="s">
        <v>228</v>
      </c>
      <c r="F56" s="133" t="s">
        <v>62</v>
      </c>
      <c r="G56" s="144">
        <f>(585000-85500)/1000</f>
        <v>499.5</v>
      </c>
      <c r="H56" s="138">
        <v>0</v>
      </c>
      <c r="I56" s="118">
        <f t="shared" si="0"/>
        <v>0</v>
      </c>
    </row>
    <row r="57" spans="1:9">
      <c r="A57" s="124" t="s">
        <v>44</v>
      </c>
      <c r="B57" s="125">
        <v>940</v>
      </c>
      <c r="C57" s="126" t="s">
        <v>14</v>
      </c>
      <c r="D57" s="126"/>
      <c r="E57" s="126"/>
      <c r="F57" s="126"/>
      <c r="G57" s="147">
        <f t="shared" ref="G57:H60" si="3">G58</f>
        <v>522</v>
      </c>
      <c r="H57" s="147">
        <f t="shared" si="3"/>
        <v>522</v>
      </c>
      <c r="I57" s="221">
        <f t="shared" si="0"/>
        <v>100</v>
      </c>
    </row>
    <row r="58" spans="1:9">
      <c r="A58" s="109" t="s">
        <v>45</v>
      </c>
      <c r="B58" s="132">
        <v>940</v>
      </c>
      <c r="C58" s="133" t="s">
        <v>14</v>
      </c>
      <c r="D58" s="133" t="s">
        <v>46</v>
      </c>
      <c r="E58" s="112"/>
      <c r="F58" s="133"/>
      <c r="G58" s="137">
        <f t="shared" si="3"/>
        <v>522</v>
      </c>
      <c r="H58" s="137">
        <f t="shared" si="3"/>
        <v>522</v>
      </c>
      <c r="I58" s="118">
        <f t="shared" si="0"/>
        <v>100</v>
      </c>
    </row>
    <row r="59" spans="1:9">
      <c r="A59" s="109" t="s">
        <v>215</v>
      </c>
      <c r="B59" s="132">
        <v>940</v>
      </c>
      <c r="C59" s="133" t="s">
        <v>14</v>
      </c>
      <c r="D59" s="133" t="s">
        <v>46</v>
      </c>
      <c r="E59" s="112" t="s">
        <v>216</v>
      </c>
      <c r="F59" s="133"/>
      <c r="G59" s="137">
        <f t="shared" si="3"/>
        <v>522</v>
      </c>
      <c r="H59" s="137">
        <f t="shared" si="3"/>
        <v>522</v>
      </c>
      <c r="I59" s="118">
        <f t="shared" si="0"/>
        <v>100</v>
      </c>
    </row>
    <row r="60" spans="1:9" ht="25.5">
      <c r="A60" s="109" t="s">
        <v>47</v>
      </c>
      <c r="B60" s="132">
        <v>940</v>
      </c>
      <c r="C60" s="133" t="s">
        <v>14</v>
      </c>
      <c r="D60" s="133" t="s">
        <v>46</v>
      </c>
      <c r="E60" s="112" t="s">
        <v>231</v>
      </c>
      <c r="F60" s="133"/>
      <c r="G60" s="137">
        <f t="shared" si="3"/>
        <v>522</v>
      </c>
      <c r="H60" s="137">
        <f t="shared" si="3"/>
        <v>522</v>
      </c>
      <c r="I60" s="118">
        <f t="shared" si="0"/>
        <v>100</v>
      </c>
    </row>
    <row r="61" spans="1:9" ht="25.5">
      <c r="A61" s="109" t="s">
        <v>15</v>
      </c>
      <c r="B61" s="132">
        <v>940</v>
      </c>
      <c r="C61" s="133" t="s">
        <v>14</v>
      </c>
      <c r="D61" s="133" t="s">
        <v>46</v>
      </c>
      <c r="E61" s="112" t="s">
        <v>231</v>
      </c>
      <c r="F61" s="133" t="s">
        <v>16</v>
      </c>
      <c r="G61" s="137">
        <f>G62+G63</f>
        <v>522</v>
      </c>
      <c r="H61" s="137">
        <f>H62+H63</f>
        <v>522</v>
      </c>
      <c r="I61" s="118">
        <f t="shared" si="0"/>
        <v>100</v>
      </c>
    </row>
    <row r="62" spans="1:9" ht="25.5">
      <c r="A62" s="109" t="s">
        <v>203</v>
      </c>
      <c r="B62" s="132">
        <v>940</v>
      </c>
      <c r="C62" s="133" t="s">
        <v>14</v>
      </c>
      <c r="D62" s="133" t="s">
        <v>46</v>
      </c>
      <c r="E62" s="112" t="s">
        <v>231</v>
      </c>
      <c r="F62" s="133" t="s">
        <v>17</v>
      </c>
      <c r="G62" s="137">
        <f>(399000+2474.21)/1000</f>
        <v>401.47421000000003</v>
      </c>
      <c r="H62" s="138">
        <f>401474.21/1000</f>
        <v>401.47421000000003</v>
      </c>
      <c r="I62" s="118">
        <f t="shared" si="0"/>
        <v>100</v>
      </c>
    </row>
    <row r="63" spans="1:9" ht="51">
      <c r="A63" s="109" t="s">
        <v>205</v>
      </c>
      <c r="B63" s="132">
        <v>940</v>
      </c>
      <c r="C63" s="133" t="s">
        <v>14</v>
      </c>
      <c r="D63" s="133" t="s">
        <v>46</v>
      </c>
      <c r="E63" s="112" t="s">
        <v>231</v>
      </c>
      <c r="F63" s="133" t="s">
        <v>206</v>
      </c>
      <c r="G63" s="137">
        <f>(123000-2474.21)/1000</f>
        <v>120.52579</v>
      </c>
      <c r="H63" s="138">
        <f>120525.79/1000</f>
        <v>120.52579</v>
      </c>
      <c r="I63" s="118">
        <f t="shared" si="0"/>
        <v>100</v>
      </c>
    </row>
    <row r="64" spans="1:9" ht="25.5">
      <c r="A64" s="124" t="s">
        <v>48</v>
      </c>
      <c r="B64" s="125">
        <v>940</v>
      </c>
      <c r="C64" s="126" t="s">
        <v>46</v>
      </c>
      <c r="D64" s="126"/>
      <c r="E64" s="126"/>
      <c r="F64" s="126"/>
      <c r="G64" s="147">
        <f t="shared" ref="G64:H69" si="4">G65</f>
        <v>1469.91074</v>
      </c>
      <c r="H64" s="147">
        <f t="shared" si="4"/>
        <v>1279.1990800000001</v>
      </c>
      <c r="I64" s="221">
        <f t="shared" si="0"/>
        <v>87.025629869198724</v>
      </c>
    </row>
    <row r="65" spans="1:9" ht="38.25">
      <c r="A65" s="225" t="s">
        <v>232</v>
      </c>
      <c r="B65" s="226" t="s">
        <v>49</v>
      </c>
      <c r="C65" s="227" t="s">
        <v>46</v>
      </c>
      <c r="D65" s="227" t="s">
        <v>51</v>
      </c>
      <c r="E65" s="227"/>
      <c r="F65" s="227"/>
      <c r="G65" s="228">
        <f t="shared" si="4"/>
        <v>1469.91074</v>
      </c>
      <c r="H65" s="228">
        <f t="shared" si="4"/>
        <v>1279.1990800000001</v>
      </c>
      <c r="I65" s="222">
        <f t="shared" si="0"/>
        <v>87.025629869198724</v>
      </c>
    </row>
    <row r="66" spans="1:9" ht="51">
      <c r="A66" s="89" t="s">
        <v>233</v>
      </c>
      <c r="B66" s="150" t="s">
        <v>49</v>
      </c>
      <c r="C66" s="29" t="s">
        <v>46</v>
      </c>
      <c r="D66" s="29" t="s">
        <v>51</v>
      </c>
      <c r="E66" s="29" t="s">
        <v>234</v>
      </c>
      <c r="F66" s="29"/>
      <c r="G66" s="151">
        <f t="shared" si="4"/>
        <v>1469.91074</v>
      </c>
      <c r="H66" s="151">
        <f t="shared" si="4"/>
        <v>1279.1990800000001</v>
      </c>
      <c r="I66" s="118">
        <f t="shared" si="0"/>
        <v>87.025629869198724</v>
      </c>
    </row>
    <row r="67" spans="1:9" ht="38.25">
      <c r="A67" s="89" t="s">
        <v>235</v>
      </c>
      <c r="B67" s="150" t="s">
        <v>49</v>
      </c>
      <c r="C67" s="29" t="s">
        <v>46</v>
      </c>
      <c r="D67" s="29" t="s">
        <v>51</v>
      </c>
      <c r="E67" s="29" t="s">
        <v>236</v>
      </c>
      <c r="F67" s="29"/>
      <c r="G67" s="151">
        <f t="shared" si="4"/>
        <v>1469.91074</v>
      </c>
      <c r="H67" s="151">
        <f t="shared" si="4"/>
        <v>1279.1990800000001</v>
      </c>
      <c r="I67" s="118">
        <f t="shared" si="0"/>
        <v>87.025629869198724</v>
      </c>
    </row>
    <row r="68" spans="1:9">
      <c r="A68" s="89" t="s">
        <v>237</v>
      </c>
      <c r="B68" s="150" t="s">
        <v>49</v>
      </c>
      <c r="C68" s="29" t="s">
        <v>46</v>
      </c>
      <c r="D68" s="29" t="s">
        <v>51</v>
      </c>
      <c r="E68" s="29" t="s">
        <v>238</v>
      </c>
      <c r="F68" s="29"/>
      <c r="G68" s="151">
        <f t="shared" si="4"/>
        <v>1469.91074</v>
      </c>
      <c r="H68" s="151">
        <f t="shared" si="4"/>
        <v>1279.1990800000001</v>
      </c>
      <c r="I68" s="118">
        <f t="shared" si="0"/>
        <v>87.025629869198724</v>
      </c>
    </row>
    <row r="69" spans="1:9" ht="25.5">
      <c r="A69" s="108" t="s">
        <v>22</v>
      </c>
      <c r="B69" s="150" t="s">
        <v>49</v>
      </c>
      <c r="C69" s="29" t="s">
        <v>46</v>
      </c>
      <c r="D69" s="29" t="s">
        <v>51</v>
      </c>
      <c r="E69" s="29" t="s">
        <v>238</v>
      </c>
      <c r="F69" s="29" t="s">
        <v>23</v>
      </c>
      <c r="G69" s="151">
        <f t="shared" si="4"/>
        <v>1469.91074</v>
      </c>
      <c r="H69" s="151">
        <f t="shared" si="4"/>
        <v>1279.1990800000001</v>
      </c>
      <c r="I69" s="118">
        <f t="shared" si="0"/>
        <v>87.025629869198724</v>
      </c>
    </row>
    <row r="70" spans="1:9" ht="25.5">
      <c r="A70" s="108" t="s">
        <v>207</v>
      </c>
      <c r="B70" s="140">
        <v>940</v>
      </c>
      <c r="C70" s="29" t="s">
        <v>46</v>
      </c>
      <c r="D70" s="29" t="s">
        <v>51</v>
      </c>
      <c r="E70" s="29" t="s">
        <v>238</v>
      </c>
      <c r="F70" s="133" t="s">
        <v>24</v>
      </c>
      <c r="G70" s="152">
        <f>(1600000-70000-60089.26)/1000</f>
        <v>1469.91074</v>
      </c>
      <c r="H70" s="138">
        <f>1279199.08/1000</f>
        <v>1279.1990800000001</v>
      </c>
      <c r="I70" s="118">
        <f t="shared" si="0"/>
        <v>87.025629869198724</v>
      </c>
    </row>
    <row r="71" spans="1:9">
      <c r="A71" s="153" t="s">
        <v>52</v>
      </c>
      <c r="B71" s="154" t="s">
        <v>49</v>
      </c>
      <c r="C71" s="126" t="s">
        <v>20</v>
      </c>
      <c r="D71" s="126"/>
      <c r="E71" s="126"/>
      <c r="F71" s="126"/>
      <c r="G71" s="147">
        <f>G72+G77</f>
        <v>1219.3508000000002</v>
      </c>
      <c r="H71" s="147">
        <f>H72+H77</f>
        <v>1167.3508000000002</v>
      </c>
      <c r="I71" s="221">
        <f t="shared" si="0"/>
        <v>95.735435610490441</v>
      </c>
    </row>
    <row r="72" spans="1:9">
      <c r="A72" s="155" t="s">
        <v>53</v>
      </c>
      <c r="B72" s="156">
        <v>940</v>
      </c>
      <c r="C72" s="157" t="s">
        <v>20</v>
      </c>
      <c r="D72" s="157" t="s">
        <v>50</v>
      </c>
      <c r="E72" s="157"/>
      <c r="F72" s="158"/>
      <c r="G72" s="159">
        <f t="shared" ref="G72:H75" si="5">G73</f>
        <v>978.35080000000005</v>
      </c>
      <c r="H72" s="159">
        <f t="shared" si="5"/>
        <v>978.35080000000005</v>
      </c>
      <c r="I72" s="222">
        <f t="shared" si="0"/>
        <v>100</v>
      </c>
    </row>
    <row r="73" spans="1:9">
      <c r="A73" s="160" t="s">
        <v>215</v>
      </c>
      <c r="B73" s="111">
        <v>940</v>
      </c>
      <c r="C73" s="112" t="s">
        <v>20</v>
      </c>
      <c r="D73" s="112" t="s">
        <v>50</v>
      </c>
      <c r="E73" s="112" t="s">
        <v>216</v>
      </c>
      <c r="F73" s="142"/>
      <c r="G73" s="161">
        <f t="shared" si="5"/>
        <v>978.35080000000005</v>
      </c>
      <c r="H73" s="161">
        <f t="shared" si="5"/>
        <v>978.35080000000005</v>
      </c>
      <c r="I73" s="118">
        <f t="shared" si="0"/>
        <v>100</v>
      </c>
    </row>
    <row r="74" spans="1:9" ht="25.5">
      <c r="A74" s="108" t="s">
        <v>30</v>
      </c>
      <c r="B74" s="162">
        <v>940</v>
      </c>
      <c r="C74" s="29" t="s">
        <v>20</v>
      </c>
      <c r="D74" s="29" t="s">
        <v>50</v>
      </c>
      <c r="E74" s="133" t="s">
        <v>239</v>
      </c>
      <c r="F74" s="163"/>
      <c r="G74" s="151">
        <f t="shared" si="5"/>
        <v>978.35080000000005</v>
      </c>
      <c r="H74" s="151">
        <f t="shared" si="5"/>
        <v>978.35080000000005</v>
      </c>
      <c r="I74" s="118">
        <f t="shared" si="0"/>
        <v>100</v>
      </c>
    </row>
    <row r="75" spans="1:9" ht="25.5">
      <c r="A75" s="108" t="s">
        <v>22</v>
      </c>
      <c r="B75" s="162">
        <v>940</v>
      </c>
      <c r="C75" s="29" t="s">
        <v>20</v>
      </c>
      <c r="D75" s="29" t="s">
        <v>50</v>
      </c>
      <c r="E75" s="133" t="s">
        <v>239</v>
      </c>
      <c r="F75" s="163" t="s">
        <v>23</v>
      </c>
      <c r="G75" s="151">
        <f t="shared" si="5"/>
        <v>978.35080000000005</v>
      </c>
      <c r="H75" s="151">
        <f t="shared" si="5"/>
        <v>978.35080000000005</v>
      </c>
      <c r="I75" s="118">
        <f t="shared" ref="I75:I138" si="6">H75/G75*100</f>
        <v>100</v>
      </c>
    </row>
    <row r="76" spans="1:9" ht="25.5">
      <c r="A76" s="108" t="s">
        <v>207</v>
      </c>
      <c r="B76" s="162">
        <v>940</v>
      </c>
      <c r="C76" s="29" t="s">
        <v>20</v>
      </c>
      <c r="D76" s="29" t="s">
        <v>50</v>
      </c>
      <c r="E76" s="133" t="s">
        <v>239</v>
      </c>
      <c r="F76" s="163" t="s">
        <v>24</v>
      </c>
      <c r="G76" s="152">
        <f>(1301000-270000-52649.2)/1000</f>
        <v>978.35080000000005</v>
      </c>
      <c r="H76" s="138">
        <f>978350.8/1000</f>
        <v>978.35080000000005</v>
      </c>
      <c r="I76" s="118">
        <f t="shared" si="6"/>
        <v>100</v>
      </c>
    </row>
    <row r="77" spans="1:9">
      <c r="A77" s="148" t="s">
        <v>54</v>
      </c>
      <c r="B77" s="149" t="s">
        <v>49</v>
      </c>
      <c r="C77" s="130" t="s">
        <v>20</v>
      </c>
      <c r="D77" s="130" t="s">
        <v>55</v>
      </c>
      <c r="E77" s="130"/>
      <c r="F77" s="130"/>
      <c r="G77" s="145">
        <f>G78+G82</f>
        <v>241</v>
      </c>
      <c r="H77" s="145">
        <f>H78+H82</f>
        <v>189</v>
      </c>
      <c r="I77" s="222">
        <f t="shared" si="6"/>
        <v>78.423236514522827</v>
      </c>
    </row>
    <row r="78" spans="1:9">
      <c r="A78" s="164" t="s">
        <v>215</v>
      </c>
      <c r="B78" s="165" t="s">
        <v>49</v>
      </c>
      <c r="C78" s="112" t="s">
        <v>20</v>
      </c>
      <c r="D78" s="112" t="s">
        <v>55</v>
      </c>
      <c r="E78" s="112" t="s">
        <v>216</v>
      </c>
      <c r="F78" s="112"/>
      <c r="G78" s="161">
        <f t="shared" ref="G78:H80" si="7">G79</f>
        <v>76</v>
      </c>
      <c r="H78" s="161">
        <f t="shared" si="7"/>
        <v>24</v>
      </c>
      <c r="I78" s="118">
        <f t="shared" si="6"/>
        <v>31.578947368421051</v>
      </c>
    </row>
    <row r="79" spans="1:9" ht="25.5">
      <c r="A79" s="117" t="s">
        <v>56</v>
      </c>
      <c r="B79" s="162">
        <v>940</v>
      </c>
      <c r="C79" s="29" t="s">
        <v>20</v>
      </c>
      <c r="D79" s="29" t="s">
        <v>55</v>
      </c>
      <c r="E79" s="29" t="s">
        <v>240</v>
      </c>
      <c r="F79" s="29"/>
      <c r="G79" s="151">
        <f t="shared" si="7"/>
        <v>76</v>
      </c>
      <c r="H79" s="151">
        <f t="shared" si="7"/>
        <v>24</v>
      </c>
      <c r="I79" s="118">
        <f t="shared" si="6"/>
        <v>31.578947368421051</v>
      </c>
    </row>
    <row r="80" spans="1:9" ht="25.5">
      <c r="A80" s="108" t="s">
        <v>22</v>
      </c>
      <c r="B80" s="162">
        <v>940</v>
      </c>
      <c r="C80" s="29" t="s">
        <v>20</v>
      </c>
      <c r="D80" s="29" t="s">
        <v>55</v>
      </c>
      <c r="E80" s="29" t="s">
        <v>240</v>
      </c>
      <c r="F80" s="29" t="s">
        <v>23</v>
      </c>
      <c r="G80" s="151">
        <f t="shared" si="7"/>
        <v>76</v>
      </c>
      <c r="H80" s="151">
        <f t="shared" si="7"/>
        <v>24</v>
      </c>
      <c r="I80" s="118">
        <f t="shared" si="6"/>
        <v>31.578947368421051</v>
      </c>
    </row>
    <row r="81" spans="1:9" ht="25.5">
      <c r="A81" s="108" t="s">
        <v>207</v>
      </c>
      <c r="B81" s="140">
        <v>940</v>
      </c>
      <c r="C81" s="29" t="s">
        <v>20</v>
      </c>
      <c r="D81" s="29" t="s">
        <v>55</v>
      </c>
      <c r="E81" s="29" t="s">
        <v>240</v>
      </c>
      <c r="F81" s="163" t="s">
        <v>24</v>
      </c>
      <c r="G81" s="152">
        <f>(250000-200000+26000)/1000</f>
        <v>76</v>
      </c>
      <c r="H81" s="138">
        <f>24000/1000</f>
        <v>24</v>
      </c>
      <c r="I81" s="118">
        <f t="shared" si="6"/>
        <v>31.578947368421051</v>
      </c>
    </row>
    <row r="82" spans="1:9" ht="63.75">
      <c r="A82" s="108" t="s">
        <v>227</v>
      </c>
      <c r="B82" s="140">
        <v>940</v>
      </c>
      <c r="C82" s="29" t="s">
        <v>20</v>
      </c>
      <c r="D82" s="29" t="s">
        <v>55</v>
      </c>
      <c r="E82" s="142" t="s">
        <v>228</v>
      </c>
      <c r="F82" s="133"/>
      <c r="G82" s="151">
        <f>G83</f>
        <v>165</v>
      </c>
      <c r="H82" s="151">
        <f>H83</f>
        <v>165</v>
      </c>
      <c r="I82" s="118">
        <f t="shared" si="6"/>
        <v>100</v>
      </c>
    </row>
    <row r="83" spans="1:9">
      <c r="A83" s="143" t="s">
        <v>229</v>
      </c>
      <c r="B83" s="140">
        <v>940</v>
      </c>
      <c r="C83" s="29" t="s">
        <v>20</v>
      </c>
      <c r="D83" s="29" t="s">
        <v>55</v>
      </c>
      <c r="E83" s="142" t="s">
        <v>228</v>
      </c>
      <c r="F83" s="133" t="s">
        <v>230</v>
      </c>
      <c r="G83" s="151">
        <f>G84</f>
        <v>165</v>
      </c>
      <c r="H83" s="151">
        <f>H84</f>
        <v>165</v>
      </c>
      <c r="I83" s="118">
        <f t="shared" si="6"/>
        <v>100</v>
      </c>
    </row>
    <row r="84" spans="1:9" ht="38.25">
      <c r="A84" s="108" t="s">
        <v>241</v>
      </c>
      <c r="B84" s="140">
        <v>940</v>
      </c>
      <c r="C84" s="29" t="s">
        <v>20</v>
      </c>
      <c r="D84" s="29" t="s">
        <v>55</v>
      </c>
      <c r="E84" s="142" t="s">
        <v>228</v>
      </c>
      <c r="F84" s="133" t="s">
        <v>62</v>
      </c>
      <c r="G84" s="151">
        <f>165000/1000</f>
        <v>165</v>
      </c>
      <c r="H84" s="138">
        <f>165000/1000</f>
        <v>165</v>
      </c>
      <c r="I84" s="118">
        <f t="shared" si="6"/>
        <v>100</v>
      </c>
    </row>
    <row r="85" spans="1:9">
      <c r="A85" s="124" t="s">
        <v>57</v>
      </c>
      <c r="B85" s="125">
        <v>940</v>
      </c>
      <c r="C85" s="126" t="s">
        <v>58</v>
      </c>
      <c r="D85" s="126"/>
      <c r="E85" s="126"/>
      <c r="F85" s="126"/>
      <c r="G85" s="127">
        <f>G86+G100</f>
        <v>53570.017180000003</v>
      </c>
      <c r="H85" s="127">
        <f>H86+H100</f>
        <v>53534.817180000005</v>
      </c>
      <c r="I85" s="221">
        <f t="shared" si="6"/>
        <v>99.934291602181645</v>
      </c>
    </row>
    <row r="86" spans="1:9">
      <c r="A86" s="128" t="s">
        <v>59</v>
      </c>
      <c r="B86" s="129">
        <v>940</v>
      </c>
      <c r="C86" s="130" t="s">
        <v>58</v>
      </c>
      <c r="D86" s="130" t="s">
        <v>14</v>
      </c>
      <c r="E86" s="130"/>
      <c r="F86" s="130"/>
      <c r="G86" s="131">
        <f>G87+G92</f>
        <v>3169.4028699999999</v>
      </c>
      <c r="H86" s="131">
        <f>H87+H92</f>
        <v>3169.4028699999999</v>
      </c>
      <c r="I86" s="222">
        <f t="shared" si="6"/>
        <v>100</v>
      </c>
    </row>
    <row r="87" spans="1:9" ht="51">
      <c r="A87" s="110" t="s">
        <v>242</v>
      </c>
      <c r="B87" s="111">
        <v>940</v>
      </c>
      <c r="C87" s="112" t="s">
        <v>58</v>
      </c>
      <c r="D87" s="112" t="s">
        <v>14</v>
      </c>
      <c r="E87" s="112" t="s">
        <v>243</v>
      </c>
      <c r="F87" s="112"/>
      <c r="G87" s="166">
        <f t="shared" ref="G87:H90" si="8">G88</f>
        <v>43.119199999999999</v>
      </c>
      <c r="H87" s="166">
        <f t="shared" si="8"/>
        <v>43.119199999999999</v>
      </c>
      <c r="I87" s="118">
        <f t="shared" si="6"/>
        <v>100</v>
      </c>
    </row>
    <row r="88" spans="1:9" ht="38.25">
      <c r="A88" s="110" t="s">
        <v>235</v>
      </c>
      <c r="B88" s="111">
        <v>940</v>
      </c>
      <c r="C88" s="112" t="s">
        <v>58</v>
      </c>
      <c r="D88" s="112" t="s">
        <v>14</v>
      </c>
      <c r="E88" s="112" t="s">
        <v>244</v>
      </c>
      <c r="F88" s="112"/>
      <c r="G88" s="166">
        <f t="shared" si="8"/>
        <v>43.119199999999999</v>
      </c>
      <c r="H88" s="166">
        <f t="shared" si="8"/>
        <v>43.119199999999999</v>
      </c>
      <c r="I88" s="118">
        <f t="shared" si="6"/>
        <v>100</v>
      </c>
    </row>
    <row r="89" spans="1:9">
      <c r="A89" s="110" t="s">
        <v>245</v>
      </c>
      <c r="B89" s="111">
        <v>940</v>
      </c>
      <c r="C89" s="112" t="s">
        <v>58</v>
      </c>
      <c r="D89" s="112" t="s">
        <v>14</v>
      </c>
      <c r="E89" s="112" t="s">
        <v>246</v>
      </c>
      <c r="F89" s="112"/>
      <c r="G89" s="166">
        <f t="shared" si="8"/>
        <v>43.119199999999999</v>
      </c>
      <c r="H89" s="166">
        <f t="shared" si="8"/>
        <v>43.119199999999999</v>
      </c>
      <c r="I89" s="118">
        <f t="shared" si="6"/>
        <v>100</v>
      </c>
    </row>
    <row r="90" spans="1:9">
      <c r="A90" s="143" t="s">
        <v>229</v>
      </c>
      <c r="B90" s="111">
        <v>940</v>
      </c>
      <c r="C90" s="112" t="s">
        <v>58</v>
      </c>
      <c r="D90" s="112" t="s">
        <v>14</v>
      </c>
      <c r="E90" s="112" t="s">
        <v>246</v>
      </c>
      <c r="F90" s="112" t="s">
        <v>230</v>
      </c>
      <c r="G90" s="166">
        <f t="shared" si="8"/>
        <v>43.119199999999999</v>
      </c>
      <c r="H90" s="166">
        <f t="shared" si="8"/>
        <v>43.119199999999999</v>
      </c>
      <c r="I90" s="118">
        <f t="shared" si="6"/>
        <v>100</v>
      </c>
    </row>
    <row r="91" spans="1:9" ht="38.25">
      <c r="A91" s="108" t="s">
        <v>241</v>
      </c>
      <c r="B91" s="111">
        <v>940</v>
      </c>
      <c r="C91" s="112" t="s">
        <v>58</v>
      </c>
      <c r="D91" s="112" t="s">
        <v>14</v>
      </c>
      <c r="E91" s="112" t="s">
        <v>246</v>
      </c>
      <c r="F91" s="112" t="s">
        <v>62</v>
      </c>
      <c r="G91" s="166">
        <f>(50000-6880.8)/1000</f>
        <v>43.119199999999999</v>
      </c>
      <c r="H91" s="138">
        <f>43119.2/1000</f>
        <v>43.119199999999999</v>
      </c>
      <c r="I91" s="118">
        <f t="shared" si="6"/>
        <v>100</v>
      </c>
    </row>
    <row r="92" spans="1:9" ht="63.75">
      <c r="A92" s="108" t="s">
        <v>247</v>
      </c>
      <c r="B92" s="111">
        <v>940</v>
      </c>
      <c r="C92" s="112" t="s">
        <v>58</v>
      </c>
      <c r="D92" s="112" t="s">
        <v>14</v>
      </c>
      <c r="E92" s="112" t="s">
        <v>248</v>
      </c>
      <c r="F92" s="112"/>
      <c r="G92" s="166">
        <f>G93</f>
        <v>3126.2836699999998</v>
      </c>
      <c r="H92" s="166">
        <f>H93</f>
        <v>3126.2836699999998</v>
      </c>
      <c r="I92" s="118">
        <f t="shared" si="6"/>
        <v>100</v>
      </c>
    </row>
    <row r="93" spans="1:9" ht="38.25">
      <c r="A93" s="108" t="s">
        <v>235</v>
      </c>
      <c r="B93" s="111">
        <v>940</v>
      </c>
      <c r="C93" s="112" t="s">
        <v>58</v>
      </c>
      <c r="D93" s="112" t="s">
        <v>14</v>
      </c>
      <c r="E93" s="112" t="s">
        <v>249</v>
      </c>
      <c r="F93" s="112"/>
      <c r="G93" s="166">
        <f>G94+G97</f>
        <v>3126.2836699999998</v>
      </c>
      <c r="H93" s="166">
        <f>H94+H97</f>
        <v>3126.2836699999998</v>
      </c>
      <c r="I93" s="118">
        <f t="shared" si="6"/>
        <v>100</v>
      </c>
    </row>
    <row r="94" spans="1:9" ht="38.25">
      <c r="A94" s="110" t="s">
        <v>60</v>
      </c>
      <c r="B94" s="111">
        <v>940</v>
      </c>
      <c r="C94" s="112" t="s">
        <v>58</v>
      </c>
      <c r="D94" s="112" t="s">
        <v>14</v>
      </c>
      <c r="E94" s="112" t="s">
        <v>250</v>
      </c>
      <c r="F94" s="112"/>
      <c r="G94" s="166">
        <f>G95</f>
        <v>1844.5073699999998</v>
      </c>
      <c r="H94" s="166">
        <f>H95</f>
        <v>1844.50737</v>
      </c>
      <c r="I94" s="118">
        <f t="shared" si="6"/>
        <v>100.00000000000003</v>
      </c>
    </row>
    <row r="95" spans="1:9" ht="25.5">
      <c r="A95" s="108" t="s">
        <v>22</v>
      </c>
      <c r="B95" s="111">
        <v>940</v>
      </c>
      <c r="C95" s="112" t="s">
        <v>58</v>
      </c>
      <c r="D95" s="112" t="s">
        <v>14</v>
      </c>
      <c r="E95" s="112" t="s">
        <v>250</v>
      </c>
      <c r="F95" s="112" t="s">
        <v>23</v>
      </c>
      <c r="G95" s="166">
        <f>G96</f>
        <v>1844.5073699999998</v>
      </c>
      <c r="H95" s="166">
        <f>H96</f>
        <v>1844.50737</v>
      </c>
      <c r="I95" s="118">
        <f t="shared" si="6"/>
        <v>100.00000000000003</v>
      </c>
    </row>
    <row r="96" spans="1:9" ht="25.5">
      <c r="A96" s="108" t="s">
        <v>207</v>
      </c>
      <c r="B96" s="111">
        <v>940</v>
      </c>
      <c r="C96" s="112" t="s">
        <v>58</v>
      </c>
      <c r="D96" s="112" t="s">
        <v>14</v>
      </c>
      <c r="E96" s="112" t="s">
        <v>250</v>
      </c>
      <c r="F96" s="112" t="s">
        <v>24</v>
      </c>
      <c r="G96" s="166">
        <f>(1844507.4-0.03)/1000</f>
        <v>1844.5073699999998</v>
      </c>
      <c r="H96" s="138">
        <f>1844507.37/1000</f>
        <v>1844.50737</v>
      </c>
      <c r="I96" s="118">
        <f t="shared" si="6"/>
        <v>100.00000000000003</v>
      </c>
    </row>
    <row r="97" spans="1:9" ht="25.5">
      <c r="A97" s="108" t="s">
        <v>251</v>
      </c>
      <c r="B97" s="140">
        <v>940</v>
      </c>
      <c r="C97" s="112" t="s">
        <v>58</v>
      </c>
      <c r="D97" s="112" t="s">
        <v>14</v>
      </c>
      <c r="E97" s="141" t="s">
        <v>252</v>
      </c>
      <c r="F97" s="141"/>
      <c r="G97" s="139">
        <f>G98</f>
        <v>1281.7763</v>
      </c>
      <c r="H97" s="139">
        <f>H98</f>
        <v>1281.7763</v>
      </c>
      <c r="I97" s="118">
        <f t="shared" si="6"/>
        <v>100</v>
      </c>
    </row>
    <row r="98" spans="1:9" ht="25.5">
      <c r="A98" s="108" t="s">
        <v>22</v>
      </c>
      <c r="B98" s="140">
        <v>940</v>
      </c>
      <c r="C98" s="112" t="s">
        <v>58</v>
      </c>
      <c r="D98" s="112" t="s">
        <v>14</v>
      </c>
      <c r="E98" s="141" t="s">
        <v>252</v>
      </c>
      <c r="F98" s="141" t="s">
        <v>23</v>
      </c>
      <c r="G98" s="139">
        <f>G99</f>
        <v>1281.7763</v>
      </c>
      <c r="H98" s="139">
        <f>H99</f>
        <v>1281.7763</v>
      </c>
      <c r="I98" s="118">
        <f t="shared" si="6"/>
        <v>100</v>
      </c>
    </row>
    <row r="99" spans="1:9" ht="25.5">
      <c r="A99" s="108" t="s">
        <v>207</v>
      </c>
      <c r="B99" s="140">
        <v>940</v>
      </c>
      <c r="C99" s="112" t="s">
        <v>58</v>
      </c>
      <c r="D99" s="112" t="s">
        <v>14</v>
      </c>
      <c r="E99" s="141" t="s">
        <v>252</v>
      </c>
      <c r="F99" s="141" t="s">
        <v>24</v>
      </c>
      <c r="G99" s="139">
        <f>(1281800-23.7)/1000</f>
        <v>1281.7763</v>
      </c>
      <c r="H99" s="138">
        <f>1281776.3/1000</f>
        <v>1281.7763</v>
      </c>
      <c r="I99" s="118">
        <f t="shared" si="6"/>
        <v>100</v>
      </c>
    </row>
    <row r="100" spans="1:9">
      <c r="A100" s="128" t="s">
        <v>63</v>
      </c>
      <c r="B100" s="129">
        <v>940</v>
      </c>
      <c r="C100" s="130" t="s">
        <v>58</v>
      </c>
      <c r="D100" s="130" t="s">
        <v>46</v>
      </c>
      <c r="E100" s="130"/>
      <c r="F100" s="130"/>
      <c r="G100" s="131">
        <f>G101+G122+G128</f>
        <v>50400.614310000004</v>
      </c>
      <c r="H100" s="131">
        <f>H101+H122+H128</f>
        <v>50365.414310000007</v>
      </c>
      <c r="I100" s="222">
        <f t="shared" si="6"/>
        <v>99.930159581421989</v>
      </c>
    </row>
    <row r="101" spans="1:9" ht="51">
      <c r="A101" s="110" t="s">
        <v>253</v>
      </c>
      <c r="B101" s="111">
        <v>940</v>
      </c>
      <c r="C101" s="112" t="s">
        <v>58</v>
      </c>
      <c r="D101" s="112" t="s">
        <v>46</v>
      </c>
      <c r="E101" s="112" t="s">
        <v>254</v>
      </c>
      <c r="F101" s="112"/>
      <c r="G101" s="166">
        <f>G102+G107+G112+G117</f>
        <v>22365.807550000001</v>
      </c>
      <c r="H101" s="166">
        <f>H102+H107+H112+H117</f>
        <v>22330.607550000001</v>
      </c>
      <c r="I101" s="118">
        <f t="shared" si="6"/>
        <v>99.842616905643538</v>
      </c>
    </row>
    <row r="102" spans="1:9">
      <c r="A102" s="110" t="s">
        <v>255</v>
      </c>
      <c r="B102" s="111">
        <v>940</v>
      </c>
      <c r="C102" s="112" t="s">
        <v>58</v>
      </c>
      <c r="D102" s="112" t="s">
        <v>46</v>
      </c>
      <c r="E102" s="112" t="s">
        <v>256</v>
      </c>
      <c r="F102" s="112"/>
      <c r="G102" s="166">
        <f t="shared" ref="G102:H105" si="9">G103</f>
        <v>7978.4092599999994</v>
      </c>
      <c r="H102" s="166">
        <f t="shared" si="9"/>
        <v>7978.4092599999994</v>
      </c>
      <c r="I102" s="118">
        <f t="shared" si="6"/>
        <v>100</v>
      </c>
    </row>
    <row r="103" spans="1:9" ht="38.25">
      <c r="A103" s="110" t="s">
        <v>235</v>
      </c>
      <c r="B103" s="111">
        <v>940</v>
      </c>
      <c r="C103" s="112" t="s">
        <v>58</v>
      </c>
      <c r="D103" s="112" t="s">
        <v>46</v>
      </c>
      <c r="E103" s="112" t="s">
        <v>257</v>
      </c>
      <c r="F103" s="112"/>
      <c r="G103" s="166">
        <f t="shared" si="9"/>
        <v>7978.4092599999994</v>
      </c>
      <c r="H103" s="166">
        <f t="shared" si="9"/>
        <v>7978.4092599999994</v>
      </c>
      <c r="I103" s="118">
        <f t="shared" si="6"/>
        <v>100</v>
      </c>
    </row>
    <row r="104" spans="1:9">
      <c r="A104" s="110" t="s">
        <v>258</v>
      </c>
      <c r="B104" s="111">
        <v>940</v>
      </c>
      <c r="C104" s="112" t="s">
        <v>58</v>
      </c>
      <c r="D104" s="112" t="s">
        <v>46</v>
      </c>
      <c r="E104" s="112" t="s">
        <v>259</v>
      </c>
      <c r="F104" s="112"/>
      <c r="G104" s="166">
        <f t="shared" si="9"/>
        <v>7978.4092599999994</v>
      </c>
      <c r="H104" s="166">
        <f t="shared" si="9"/>
        <v>7978.4092599999994</v>
      </c>
      <c r="I104" s="118">
        <f t="shared" si="6"/>
        <v>100</v>
      </c>
    </row>
    <row r="105" spans="1:9" ht="25.5">
      <c r="A105" s="108" t="s">
        <v>22</v>
      </c>
      <c r="B105" s="111">
        <v>940</v>
      </c>
      <c r="C105" s="112" t="s">
        <v>58</v>
      </c>
      <c r="D105" s="112" t="s">
        <v>46</v>
      </c>
      <c r="E105" s="112" t="s">
        <v>259</v>
      </c>
      <c r="F105" s="112" t="s">
        <v>23</v>
      </c>
      <c r="G105" s="166">
        <f t="shared" si="9"/>
        <v>7978.4092599999994</v>
      </c>
      <c r="H105" s="166">
        <f t="shared" si="9"/>
        <v>7978.4092599999994</v>
      </c>
      <c r="I105" s="118">
        <f t="shared" si="6"/>
        <v>100</v>
      </c>
    </row>
    <row r="106" spans="1:9" ht="25.5">
      <c r="A106" s="108" t="s">
        <v>207</v>
      </c>
      <c r="B106" s="140">
        <v>940</v>
      </c>
      <c r="C106" s="112" t="s">
        <v>58</v>
      </c>
      <c r="D106" s="112" t="s">
        <v>46</v>
      </c>
      <c r="E106" s="112" t="s">
        <v>259</v>
      </c>
      <c r="F106" s="163" t="s">
        <v>24</v>
      </c>
      <c r="G106" s="166">
        <f>(8700000-75278.97-646311.77)/1000</f>
        <v>7978.4092599999994</v>
      </c>
      <c r="H106" s="138">
        <f>7978409.26/1000</f>
        <v>7978.4092599999994</v>
      </c>
      <c r="I106" s="118">
        <f t="shared" si="6"/>
        <v>100</v>
      </c>
    </row>
    <row r="107" spans="1:9">
      <c r="A107" s="110" t="s">
        <v>260</v>
      </c>
      <c r="B107" s="111">
        <v>940</v>
      </c>
      <c r="C107" s="112" t="s">
        <v>58</v>
      </c>
      <c r="D107" s="112" t="s">
        <v>46</v>
      </c>
      <c r="E107" s="112" t="s">
        <v>261</v>
      </c>
      <c r="F107" s="112"/>
      <c r="G107" s="166">
        <f t="shared" ref="G107:H110" si="10">G108</f>
        <v>499.06970000000001</v>
      </c>
      <c r="H107" s="166">
        <f t="shared" si="10"/>
        <v>499.06970000000001</v>
      </c>
      <c r="I107" s="118">
        <f t="shared" si="6"/>
        <v>100</v>
      </c>
    </row>
    <row r="108" spans="1:9" ht="38.25">
      <c r="A108" s="110" t="s">
        <v>235</v>
      </c>
      <c r="B108" s="111">
        <v>940</v>
      </c>
      <c r="C108" s="112" t="s">
        <v>58</v>
      </c>
      <c r="D108" s="112" t="s">
        <v>46</v>
      </c>
      <c r="E108" s="112" t="s">
        <v>262</v>
      </c>
      <c r="F108" s="112"/>
      <c r="G108" s="166">
        <f t="shared" si="10"/>
        <v>499.06970000000001</v>
      </c>
      <c r="H108" s="166">
        <f t="shared" si="10"/>
        <v>499.06970000000001</v>
      </c>
      <c r="I108" s="118">
        <f t="shared" si="6"/>
        <v>100</v>
      </c>
    </row>
    <row r="109" spans="1:9">
      <c r="A109" s="110" t="s">
        <v>263</v>
      </c>
      <c r="B109" s="111">
        <v>940</v>
      </c>
      <c r="C109" s="112" t="s">
        <v>58</v>
      </c>
      <c r="D109" s="112" t="s">
        <v>46</v>
      </c>
      <c r="E109" s="112" t="s">
        <v>264</v>
      </c>
      <c r="F109" s="112"/>
      <c r="G109" s="166">
        <f t="shared" si="10"/>
        <v>499.06970000000001</v>
      </c>
      <c r="H109" s="166">
        <f t="shared" si="10"/>
        <v>499.06970000000001</v>
      </c>
      <c r="I109" s="118">
        <f t="shared" si="6"/>
        <v>100</v>
      </c>
    </row>
    <row r="110" spans="1:9" ht="25.5">
      <c r="A110" s="108" t="s">
        <v>22</v>
      </c>
      <c r="B110" s="111">
        <v>940</v>
      </c>
      <c r="C110" s="112" t="s">
        <v>58</v>
      </c>
      <c r="D110" s="112" t="s">
        <v>46</v>
      </c>
      <c r="E110" s="112" t="s">
        <v>264</v>
      </c>
      <c r="F110" s="112" t="s">
        <v>23</v>
      </c>
      <c r="G110" s="166">
        <f t="shared" si="10"/>
        <v>499.06970000000001</v>
      </c>
      <c r="H110" s="166">
        <f t="shared" si="10"/>
        <v>499.06970000000001</v>
      </c>
      <c r="I110" s="118">
        <f t="shared" si="6"/>
        <v>100</v>
      </c>
    </row>
    <row r="111" spans="1:9" ht="25.5">
      <c r="A111" s="108" t="s">
        <v>207</v>
      </c>
      <c r="B111" s="140">
        <v>940</v>
      </c>
      <c r="C111" s="112" t="s">
        <v>58</v>
      </c>
      <c r="D111" s="112" t="s">
        <v>46</v>
      </c>
      <c r="E111" s="112" t="s">
        <v>264</v>
      </c>
      <c r="F111" s="163" t="s">
        <v>24</v>
      </c>
      <c r="G111" s="166">
        <f>(500000-930.3)/1000</f>
        <v>499.06970000000001</v>
      </c>
      <c r="H111" s="138">
        <f>499069.7/1000</f>
        <v>499.06970000000001</v>
      </c>
      <c r="I111" s="118">
        <f t="shared" si="6"/>
        <v>100</v>
      </c>
    </row>
    <row r="112" spans="1:9">
      <c r="A112" s="108" t="s">
        <v>265</v>
      </c>
      <c r="B112" s="140">
        <v>940</v>
      </c>
      <c r="C112" s="112" t="s">
        <v>58</v>
      </c>
      <c r="D112" s="112" t="s">
        <v>46</v>
      </c>
      <c r="E112" s="112" t="s">
        <v>266</v>
      </c>
      <c r="F112" s="163"/>
      <c r="G112" s="166">
        <f t="shared" ref="G112:H115" si="11">G113</f>
        <v>9988.4017399999993</v>
      </c>
      <c r="H112" s="166">
        <f t="shared" si="11"/>
        <v>9953.2017400000004</v>
      </c>
      <c r="I112" s="118">
        <f t="shared" si="6"/>
        <v>99.647591267189071</v>
      </c>
    </row>
    <row r="113" spans="1:9" ht="38.25">
      <c r="A113" s="108" t="s">
        <v>235</v>
      </c>
      <c r="B113" s="140">
        <v>940</v>
      </c>
      <c r="C113" s="112" t="s">
        <v>58</v>
      </c>
      <c r="D113" s="112" t="s">
        <v>46</v>
      </c>
      <c r="E113" s="112" t="s">
        <v>267</v>
      </c>
      <c r="F113" s="163"/>
      <c r="G113" s="166">
        <f t="shared" si="11"/>
        <v>9988.4017399999993</v>
      </c>
      <c r="H113" s="166">
        <f t="shared" si="11"/>
        <v>9953.2017400000004</v>
      </c>
      <c r="I113" s="118">
        <f t="shared" si="6"/>
        <v>99.647591267189071</v>
      </c>
    </row>
    <row r="114" spans="1:9">
      <c r="A114" s="108" t="s">
        <v>268</v>
      </c>
      <c r="B114" s="140">
        <v>940</v>
      </c>
      <c r="C114" s="112" t="s">
        <v>58</v>
      </c>
      <c r="D114" s="112" t="s">
        <v>46</v>
      </c>
      <c r="E114" s="112" t="s">
        <v>269</v>
      </c>
      <c r="F114" s="163"/>
      <c r="G114" s="166">
        <f t="shared" si="11"/>
        <v>9988.4017399999993</v>
      </c>
      <c r="H114" s="166">
        <f t="shared" si="11"/>
        <v>9953.2017400000004</v>
      </c>
      <c r="I114" s="118">
        <f t="shared" si="6"/>
        <v>99.647591267189071</v>
      </c>
    </row>
    <row r="115" spans="1:9" ht="25.5">
      <c r="A115" s="108" t="s">
        <v>22</v>
      </c>
      <c r="B115" s="140">
        <v>940</v>
      </c>
      <c r="C115" s="112" t="s">
        <v>58</v>
      </c>
      <c r="D115" s="112" t="s">
        <v>46</v>
      </c>
      <c r="E115" s="112" t="s">
        <v>269</v>
      </c>
      <c r="F115" s="163" t="s">
        <v>23</v>
      </c>
      <c r="G115" s="166">
        <f t="shared" si="11"/>
        <v>9988.4017399999993</v>
      </c>
      <c r="H115" s="166">
        <f t="shared" si="11"/>
        <v>9953.2017400000004</v>
      </c>
      <c r="I115" s="118">
        <f t="shared" si="6"/>
        <v>99.647591267189071</v>
      </c>
    </row>
    <row r="116" spans="1:9" ht="25.5">
      <c r="A116" s="108" t="s">
        <v>207</v>
      </c>
      <c r="B116" s="140">
        <v>940</v>
      </c>
      <c r="C116" s="112" t="s">
        <v>58</v>
      </c>
      <c r="D116" s="112" t="s">
        <v>46</v>
      </c>
      <c r="E116" s="112" t="s">
        <v>269</v>
      </c>
      <c r="F116" s="163" t="s">
        <v>24</v>
      </c>
      <c r="G116" s="167">
        <f>(9837000+70000+81500-98.26)/1000</f>
        <v>9988.4017399999993</v>
      </c>
      <c r="H116" s="138">
        <f>9953201.74/1000</f>
        <v>9953.2017400000004</v>
      </c>
      <c r="I116" s="118">
        <f t="shared" si="6"/>
        <v>99.647591267189071</v>
      </c>
    </row>
    <row r="117" spans="1:9">
      <c r="A117" s="110" t="s">
        <v>270</v>
      </c>
      <c r="B117" s="111">
        <v>940</v>
      </c>
      <c r="C117" s="29" t="s">
        <v>58</v>
      </c>
      <c r="D117" s="29" t="s">
        <v>46</v>
      </c>
      <c r="E117" s="29" t="s">
        <v>271</v>
      </c>
      <c r="F117" s="29"/>
      <c r="G117" s="168">
        <f>G121</f>
        <v>3899.9268500000003</v>
      </c>
      <c r="H117" s="168">
        <f>H121</f>
        <v>3899.9268500000003</v>
      </c>
      <c r="I117" s="118">
        <f t="shared" si="6"/>
        <v>100</v>
      </c>
    </row>
    <row r="118" spans="1:9" ht="38.25">
      <c r="A118" s="110" t="s">
        <v>235</v>
      </c>
      <c r="B118" s="111">
        <v>940</v>
      </c>
      <c r="C118" s="29" t="s">
        <v>58</v>
      </c>
      <c r="D118" s="29" t="s">
        <v>46</v>
      </c>
      <c r="E118" s="29" t="s">
        <v>272</v>
      </c>
      <c r="F118" s="29"/>
      <c r="G118" s="168">
        <f t="shared" ref="G118:H120" si="12">G119</f>
        <v>3899.9268500000003</v>
      </c>
      <c r="H118" s="168">
        <f t="shared" si="12"/>
        <v>3899.9268500000003</v>
      </c>
      <c r="I118" s="118">
        <f t="shared" si="6"/>
        <v>100</v>
      </c>
    </row>
    <row r="119" spans="1:9">
      <c r="A119" s="110" t="s">
        <v>273</v>
      </c>
      <c r="B119" s="111">
        <v>940</v>
      </c>
      <c r="C119" s="29" t="s">
        <v>58</v>
      </c>
      <c r="D119" s="29" t="s">
        <v>46</v>
      </c>
      <c r="E119" s="29" t="s">
        <v>274</v>
      </c>
      <c r="F119" s="29"/>
      <c r="G119" s="168">
        <f t="shared" si="12"/>
        <v>3899.9268500000003</v>
      </c>
      <c r="H119" s="168">
        <f t="shared" si="12"/>
        <v>3899.9268500000003</v>
      </c>
      <c r="I119" s="118">
        <f t="shared" si="6"/>
        <v>100</v>
      </c>
    </row>
    <row r="120" spans="1:9" ht="25.5">
      <c r="A120" s="108" t="s">
        <v>22</v>
      </c>
      <c r="B120" s="111">
        <v>940</v>
      </c>
      <c r="C120" s="29" t="s">
        <v>58</v>
      </c>
      <c r="D120" s="29" t="s">
        <v>46</v>
      </c>
      <c r="E120" s="29" t="s">
        <v>274</v>
      </c>
      <c r="F120" s="29" t="s">
        <v>23</v>
      </c>
      <c r="G120" s="168">
        <f t="shared" si="12"/>
        <v>3899.9268500000003</v>
      </c>
      <c r="H120" s="168">
        <f t="shared" si="12"/>
        <v>3899.9268500000003</v>
      </c>
      <c r="I120" s="118">
        <f t="shared" si="6"/>
        <v>100</v>
      </c>
    </row>
    <row r="121" spans="1:9" ht="25.5">
      <c r="A121" s="108" t="s">
        <v>207</v>
      </c>
      <c r="B121" s="111">
        <v>940</v>
      </c>
      <c r="C121" s="29" t="s">
        <v>58</v>
      </c>
      <c r="D121" s="29" t="s">
        <v>46</v>
      </c>
      <c r="E121" s="29" t="s">
        <v>274</v>
      </c>
      <c r="F121" s="29" t="s">
        <v>24</v>
      </c>
      <c r="G121" s="168">
        <f>(3900000-73.15)/1000</f>
        <v>3899.9268500000003</v>
      </c>
      <c r="H121" s="138">
        <f>3899926.85/1000</f>
        <v>3899.9268500000003</v>
      </c>
      <c r="I121" s="118">
        <f t="shared" si="6"/>
        <v>100</v>
      </c>
    </row>
    <row r="122" spans="1:9">
      <c r="A122" s="143" t="s">
        <v>215</v>
      </c>
      <c r="B122" s="111">
        <v>940</v>
      </c>
      <c r="C122" s="29" t="s">
        <v>58</v>
      </c>
      <c r="D122" s="29" t="s">
        <v>46</v>
      </c>
      <c r="E122" s="29" t="s">
        <v>216</v>
      </c>
      <c r="F122" s="29"/>
      <c r="G122" s="168">
        <f>G123</f>
        <v>22992.978010000003</v>
      </c>
      <c r="H122" s="168">
        <f>H123</f>
        <v>22992.978010000003</v>
      </c>
      <c r="I122" s="118">
        <f t="shared" si="6"/>
        <v>100</v>
      </c>
    </row>
    <row r="123" spans="1:9">
      <c r="A123" s="109" t="s">
        <v>217</v>
      </c>
      <c r="B123" s="111">
        <v>940</v>
      </c>
      <c r="C123" s="29" t="s">
        <v>58</v>
      </c>
      <c r="D123" s="29" t="s">
        <v>46</v>
      </c>
      <c r="E123" s="29" t="s">
        <v>218</v>
      </c>
      <c r="F123" s="29"/>
      <c r="G123" s="168">
        <f>G124</f>
        <v>22992.978010000003</v>
      </c>
      <c r="H123" s="168">
        <f>H124</f>
        <v>22992.978010000003</v>
      </c>
      <c r="I123" s="118">
        <f t="shared" si="6"/>
        <v>100</v>
      </c>
    </row>
    <row r="124" spans="1:9">
      <c r="A124" s="109" t="s">
        <v>217</v>
      </c>
      <c r="B124" s="111">
        <v>940</v>
      </c>
      <c r="C124" s="29" t="s">
        <v>58</v>
      </c>
      <c r="D124" s="29" t="s">
        <v>46</v>
      </c>
      <c r="E124" s="29" t="s">
        <v>218</v>
      </c>
      <c r="F124" s="29" t="s">
        <v>219</v>
      </c>
      <c r="G124" s="168">
        <f>G125+G126</f>
        <v>22992.978010000003</v>
      </c>
      <c r="H124" s="168">
        <f>H125+H126</f>
        <v>22992.978010000003</v>
      </c>
      <c r="I124" s="118">
        <f t="shared" si="6"/>
        <v>100</v>
      </c>
    </row>
    <row r="125" spans="1:9" ht="51">
      <c r="A125" s="108" t="s">
        <v>275</v>
      </c>
      <c r="B125" s="111">
        <v>940</v>
      </c>
      <c r="C125" s="29" t="s">
        <v>58</v>
      </c>
      <c r="D125" s="29" t="s">
        <v>46</v>
      </c>
      <c r="E125" s="29" t="s">
        <v>218</v>
      </c>
      <c r="F125" s="29" t="s">
        <v>64</v>
      </c>
      <c r="G125" s="168">
        <f>(23546100-1608821.99)/1000</f>
        <v>21937.278010000002</v>
      </c>
      <c r="H125" s="138">
        <f>21937278.01/1000</f>
        <v>21937.278010000002</v>
      </c>
      <c r="I125" s="118">
        <f t="shared" si="6"/>
        <v>100</v>
      </c>
    </row>
    <row r="126" spans="1:9">
      <c r="A126" s="108" t="s">
        <v>31</v>
      </c>
      <c r="B126" s="111">
        <v>940</v>
      </c>
      <c r="C126" s="29" t="s">
        <v>58</v>
      </c>
      <c r="D126" s="29" t="s">
        <v>46</v>
      </c>
      <c r="E126" s="29" t="s">
        <v>218</v>
      </c>
      <c r="F126" s="29" t="s">
        <v>32</v>
      </c>
      <c r="G126" s="168">
        <f>(1152000-96300)/1000</f>
        <v>1055.7</v>
      </c>
      <c r="H126" s="138">
        <f>1055700/1000</f>
        <v>1055.7</v>
      </c>
      <c r="I126" s="118">
        <f t="shared" si="6"/>
        <v>100</v>
      </c>
    </row>
    <row r="127" spans="1:9" ht="51">
      <c r="A127" s="108" t="s">
        <v>276</v>
      </c>
      <c r="B127" s="111">
        <v>940</v>
      </c>
      <c r="C127" s="29" t="s">
        <v>58</v>
      </c>
      <c r="D127" s="29" t="s">
        <v>46</v>
      </c>
      <c r="E127" s="29" t="s">
        <v>277</v>
      </c>
      <c r="F127" s="29"/>
      <c r="G127" s="168">
        <f>G128</f>
        <v>5041.8287500000006</v>
      </c>
      <c r="H127" s="168">
        <f>H128</f>
        <v>5041.8287500000006</v>
      </c>
      <c r="I127" s="118">
        <f t="shared" si="6"/>
        <v>100</v>
      </c>
    </row>
    <row r="128" spans="1:9" ht="38.25">
      <c r="A128" s="108" t="s">
        <v>235</v>
      </c>
      <c r="B128" s="111">
        <v>940</v>
      </c>
      <c r="C128" s="29" t="s">
        <v>58</v>
      </c>
      <c r="D128" s="29" t="s">
        <v>46</v>
      </c>
      <c r="E128" s="29" t="s">
        <v>278</v>
      </c>
      <c r="F128" s="29"/>
      <c r="G128" s="168">
        <f>G129+G132</f>
        <v>5041.8287500000006</v>
      </c>
      <c r="H128" s="168">
        <f>H129+H132</f>
        <v>5041.8287500000006</v>
      </c>
      <c r="I128" s="118">
        <f t="shared" si="6"/>
        <v>100</v>
      </c>
    </row>
    <row r="129" spans="1:9" ht="38.25">
      <c r="A129" s="110" t="s">
        <v>279</v>
      </c>
      <c r="B129" s="111">
        <v>940</v>
      </c>
      <c r="C129" s="29" t="s">
        <v>58</v>
      </c>
      <c r="D129" s="29" t="s">
        <v>46</v>
      </c>
      <c r="E129" s="29" t="s">
        <v>280</v>
      </c>
      <c r="F129" s="29"/>
      <c r="G129" s="168">
        <f>G130</f>
        <v>4285.5544400000008</v>
      </c>
      <c r="H129" s="168">
        <f>H130</f>
        <v>4285.5544400000008</v>
      </c>
      <c r="I129" s="118">
        <f t="shared" si="6"/>
        <v>100</v>
      </c>
    </row>
    <row r="130" spans="1:9" ht="25.5">
      <c r="A130" s="108" t="s">
        <v>22</v>
      </c>
      <c r="B130" s="111">
        <v>940</v>
      </c>
      <c r="C130" s="29" t="s">
        <v>58</v>
      </c>
      <c r="D130" s="29" t="s">
        <v>46</v>
      </c>
      <c r="E130" s="29" t="s">
        <v>280</v>
      </c>
      <c r="F130" s="29" t="s">
        <v>23</v>
      </c>
      <c r="G130" s="168">
        <f>G131</f>
        <v>4285.5544400000008</v>
      </c>
      <c r="H130" s="168">
        <f>H131</f>
        <v>4285.5544400000008</v>
      </c>
      <c r="I130" s="118">
        <f t="shared" si="6"/>
        <v>100</v>
      </c>
    </row>
    <row r="131" spans="1:9" ht="25.5">
      <c r="A131" s="108" t="s">
        <v>207</v>
      </c>
      <c r="B131" s="111">
        <v>940</v>
      </c>
      <c r="C131" s="29" t="s">
        <v>58</v>
      </c>
      <c r="D131" s="29" t="s">
        <v>46</v>
      </c>
      <c r="E131" s="29" t="s">
        <v>280</v>
      </c>
      <c r="F131" s="29" t="s">
        <v>24</v>
      </c>
      <c r="G131" s="169">
        <f>(4285560-5.56)/1000</f>
        <v>4285.5544400000008</v>
      </c>
      <c r="H131" s="138">
        <f>4285554.44/1000</f>
        <v>4285.5544400000008</v>
      </c>
      <c r="I131" s="118">
        <f t="shared" si="6"/>
        <v>100</v>
      </c>
    </row>
    <row r="132" spans="1:9" ht="25.5">
      <c r="A132" s="108" t="s">
        <v>281</v>
      </c>
      <c r="B132" s="111">
        <v>940</v>
      </c>
      <c r="C132" s="29" t="s">
        <v>58</v>
      </c>
      <c r="D132" s="29" t="s">
        <v>46</v>
      </c>
      <c r="E132" s="29" t="s">
        <v>282</v>
      </c>
      <c r="F132" s="29"/>
      <c r="G132" s="169">
        <f>G133</f>
        <v>756.27431000000001</v>
      </c>
      <c r="H132" s="169">
        <f>H133</f>
        <v>756.27431000000001</v>
      </c>
      <c r="I132" s="118">
        <f t="shared" si="6"/>
        <v>100</v>
      </c>
    </row>
    <row r="133" spans="1:9" ht="25.5">
      <c r="A133" s="108" t="s">
        <v>22</v>
      </c>
      <c r="B133" s="111">
        <v>940</v>
      </c>
      <c r="C133" s="29" t="s">
        <v>58</v>
      </c>
      <c r="D133" s="29" t="s">
        <v>46</v>
      </c>
      <c r="E133" s="29" t="s">
        <v>282</v>
      </c>
      <c r="F133" s="29" t="s">
        <v>23</v>
      </c>
      <c r="G133" s="169">
        <f>G134</f>
        <v>756.27431000000001</v>
      </c>
      <c r="H133" s="169">
        <f>H134</f>
        <v>756.27431000000001</v>
      </c>
      <c r="I133" s="118">
        <f t="shared" si="6"/>
        <v>100</v>
      </c>
    </row>
    <row r="134" spans="1:9" ht="25.5">
      <c r="A134" s="108" t="s">
        <v>207</v>
      </c>
      <c r="B134" s="111">
        <v>940</v>
      </c>
      <c r="C134" s="29" t="s">
        <v>58</v>
      </c>
      <c r="D134" s="29" t="s">
        <v>46</v>
      </c>
      <c r="E134" s="29" t="s">
        <v>282</v>
      </c>
      <c r="F134" s="29" t="s">
        <v>24</v>
      </c>
      <c r="G134" s="169">
        <f>(789450-33175.69)/1000</f>
        <v>756.27431000000001</v>
      </c>
      <c r="H134" s="138">
        <f>756274.31/1000</f>
        <v>756.27431000000001</v>
      </c>
      <c r="I134" s="118">
        <f t="shared" si="6"/>
        <v>100</v>
      </c>
    </row>
    <row r="135" spans="1:9">
      <c r="A135" s="124" t="s">
        <v>65</v>
      </c>
      <c r="B135" s="170">
        <v>940</v>
      </c>
      <c r="C135" s="126" t="s">
        <v>66</v>
      </c>
      <c r="D135" s="126"/>
      <c r="E135" s="126"/>
      <c r="F135" s="126"/>
      <c r="G135" s="147">
        <f>G136+G168</f>
        <v>50517.128559999997</v>
      </c>
      <c r="H135" s="147">
        <f>H136+H168</f>
        <v>48766.828810000006</v>
      </c>
      <c r="I135" s="221">
        <f t="shared" si="6"/>
        <v>96.535235077898122</v>
      </c>
    </row>
    <row r="136" spans="1:9">
      <c r="A136" s="128" t="s">
        <v>67</v>
      </c>
      <c r="B136" s="171">
        <v>940</v>
      </c>
      <c r="C136" s="130" t="s">
        <v>66</v>
      </c>
      <c r="D136" s="130" t="s">
        <v>12</v>
      </c>
      <c r="E136" s="130"/>
      <c r="F136" s="130"/>
      <c r="G136" s="145">
        <f>G137+G164+G167</f>
        <v>40816.50851</v>
      </c>
      <c r="H136" s="145">
        <f>H137+H164+H167</f>
        <v>39066.208760000001</v>
      </c>
      <c r="I136" s="222">
        <f t="shared" si="6"/>
        <v>95.711784731486333</v>
      </c>
    </row>
    <row r="137" spans="1:9">
      <c r="A137" s="172" t="s">
        <v>283</v>
      </c>
      <c r="B137" s="113">
        <v>940</v>
      </c>
      <c r="C137" s="173" t="s">
        <v>66</v>
      </c>
      <c r="D137" s="173" t="s">
        <v>12</v>
      </c>
      <c r="E137" s="173" t="s">
        <v>284</v>
      </c>
      <c r="F137" s="173"/>
      <c r="G137" s="174">
        <f>G138+G159</f>
        <v>40264.849949999996</v>
      </c>
      <c r="H137" s="174">
        <f>H138+H159</f>
        <v>38514.550199999998</v>
      </c>
      <c r="I137" s="118">
        <f t="shared" si="6"/>
        <v>95.653032974980704</v>
      </c>
    </row>
    <row r="138" spans="1:9">
      <c r="A138" s="175" t="s">
        <v>285</v>
      </c>
      <c r="B138" s="113">
        <v>940</v>
      </c>
      <c r="C138" s="115" t="s">
        <v>66</v>
      </c>
      <c r="D138" s="115" t="s">
        <v>12</v>
      </c>
      <c r="E138" s="115" t="s">
        <v>286</v>
      </c>
      <c r="F138" s="115"/>
      <c r="G138" s="146">
        <f>G139+G150</f>
        <v>38290.890489999998</v>
      </c>
      <c r="H138" s="146">
        <f>H139+H150</f>
        <v>36540.59074</v>
      </c>
      <c r="I138" s="118">
        <f t="shared" si="6"/>
        <v>95.428939552980353</v>
      </c>
    </row>
    <row r="139" spans="1:9" ht="25.5">
      <c r="A139" s="175" t="s">
        <v>287</v>
      </c>
      <c r="B139" s="113">
        <v>940</v>
      </c>
      <c r="C139" s="115" t="s">
        <v>66</v>
      </c>
      <c r="D139" s="115" t="s">
        <v>12</v>
      </c>
      <c r="E139" s="115" t="s">
        <v>288</v>
      </c>
      <c r="F139" s="115"/>
      <c r="G139" s="146">
        <f>G140</f>
        <v>36319.890489999998</v>
      </c>
      <c r="H139" s="146">
        <f>H140</f>
        <v>34569.59074</v>
      </c>
      <c r="I139" s="118">
        <f t="shared" ref="I139:I202" si="13">H139/G139*100</f>
        <v>95.180878228468472</v>
      </c>
    </row>
    <row r="140" spans="1:9">
      <c r="A140" s="175" t="s">
        <v>289</v>
      </c>
      <c r="B140" s="113">
        <v>940</v>
      </c>
      <c r="C140" s="115" t="s">
        <v>66</v>
      </c>
      <c r="D140" s="115" t="s">
        <v>12</v>
      </c>
      <c r="E140" s="115" t="s">
        <v>290</v>
      </c>
      <c r="F140" s="115"/>
      <c r="G140" s="146">
        <f>G141+G145+G147</f>
        <v>36319.890489999998</v>
      </c>
      <c r="H140" s="146">
        <f>H141+H145+H147</f>
        <v>34569.59074</v>
      </c>
      <c r="I140" s="118">
        <f t="shared" si="13"/>
        <v>95.180878228468472</v>
      </c>
    </row>
    <row r="141" spans="1:9">
      <c r="A141" s="175" t="s">
        <v>76</v>
      </c>
      <c r="B141" s="113">
        <v>940</v>
      </c>
      <c r="C141" s="115" t="s">
        <v>66</v>
      </c>
      <c r="D141" s="115" t="s">
        <v>12</v>
      </c>
      <c r="E141" s="115" t="s">
        <v>290</v>
      </c>
      <c r="F141" s="115" t="s">
        <v>77</v>
      </c>
      <c r="G141" s="146">
        <f>G142+G143+G144</f>
        <v>25788.844819999998</v>
      </c>
      <c r="H141" s="146">
        <f>H142+H143+H144</f>
        <v>25788.794819999999</v>
      </c>
      <c r="I141" s="118">
        <f t="shared" si="13"/>
        <v>99.999806117721263</v>
      </c>
    </row>
    <row r="142" spans="1:9">
      <c r="A142" s="175" t="s">
        <v>291</v>
      </c>
      <c r="B142" s="113">
        <v>940</v>
      </c>
      <c r="C142" s="114" t="s">
        <v>66</v>
      </c>
      <c r="D142" s="114" t="s">
        <v>12</v>
      </c>
      <c r="E142" s="115" t="s">
        <v>290</v>
      </c>
      <c r="F142" s="115" t="s">
        <v>68</v>
      </c>
      <c r="G142" s="146">
        <f>(25647480-739883-3800000-1099835.49)/1000</f>
        <v>20007.76151</v>
      </c>
      <c r="H142" s="138">
        <f>20007761.51/1000</f>
        <v>20007.76151</v>
      </c>
      <c r="I142" s="118">
        <f t="shared" si="13"/>
        <v>100</v>
      </c>
    </row>
    <row r="143" spans="1:9" ht="25.5">
      <c r="A143" s="109" t="s">
        <v>292</v>
      </c>
      <c r="B143" s="113">
        <v>940</v>
      </c>
      <c r="C143" s="114" t="s">
        <v>66</v>
      </c>
      <c r="D143" s="114" t="s">
        <v>12</v>
      </c>
      <c r="E143" s="115" t="s">
        <v>290</v>
      </c>
      <c r="F143" s="115" t="s">
        <v>98</v>
      </c>
      <c r="G143" s="146">
        <f>50/1000</f>
        <v>0.05</v>
      </c>
      <c r="H143" s="138">
        <v>0</v>
      </c>
      <c r="I143" s="118">
        <f t="shared" si="13"/>
        <v>0</v>
      </c>
    </row>
    <row r="144" spans="1:9" ht="38.25">
      <c r="A144" s="175" t="s">
        <v>293</v>
      </c>
      <c r="B144" s="113">
        <v>940</v>
      </c>
      <c r="C144" s="114" t="s">
        <v>66</v>
      </c>
      <c r="D144" s="114" t="s">
        <v>12</v>
      </c>
      <c r="E144" s="115" t="s">
        <v>290</v>
      </c>
      <c r="F144" s="115" t="s">
        <v>294</v>
      </c>
      <c r="G144" s="146">
        <f>(7509020-1300000-427986.69)/1000</f>
        <v>5781.0333099999998</v>
      </c>
      <c r="H144" s="138">
        <f>5781033.31/1000</f>
        <v>5781.0333099999998</v>
      </c>
      <c r="I144" s="118">
        <f t="shared" si="13"/>
        <v>100</v>
      </c>
    </row>
    <row r="145" spans="1:9" ht="25.5">
      <c r="A145" s="116" t="s">
        <v>22</v>
      </c>
      <c r="B145" s="113">
        <v>940</v>
      </c>
      <c r="C145" s="114" t="s">
        <v>66</v>
      </c>
      <c r="D145" s="114" t="s">
        <v>12</v>
      </c>
      <c r="E145" s="115" t="s">
        <v>290</v>
      </c>
      <c r="F145" s="115" t="s">
        <v>23</v>
      </c>
      <c r="G145" s="146">
        <f>G146</f>
        <v>10338.661749999999</v>
      </c>
      <c r="H145" s="146">
        <f>H146</f>
        <v>8588.4120000000003</v>
      </c>
      <c r="I145" s="118">
        <f t="shared" si="13"/>
        <v>83.07082877530064</v>
      </c>
    </row>
    <row r="146" spans="1:9" ht="25.5">
      <c r="A146" s="116" t="s">
        <v>207</v>
      </c>
      <c r="B146" s="176">
        <v>940</v>
      </c>
      <c r="C146" s="114" t="s">
        <v>66</v>
      </c>
      <c r="D146" s="114" t="s">
        <v>12</v>
      </c>
      <c r="E146" s="115" t="s">
        <v>290</v>
      </c>
      <c r="F146" s="115" t="s">
        <v>24</v>
      </c>
      <c r="G146" s="146">
        <f>(9573600-31304.7+796366.45)/1000</f>
        <v>10338.661749999999</v>
      </c>
      <c r="H146" s="138">
        <f>8588412/1000</f>
        <v>8588.4120000000003</v>
      </c>
      <c r="I146" s="118">
        <f t="shared" si="13"/>
        <v>83.07082877530064</v>
      </c>
    </row>
    <row r="147" spans="1:9">
      <c r="A147" s="116" t="s">
        <v>25</v>
      </c>
      <c r="B147" s="176">
        <v>940</v>
      </c>
      <c r="C147" s="114" t="s">
        <v>66</v>
      </c>
      <c r="D147" s="114" t="s">
        <v>12</v>
      </c>
      <c r="E147" s="115" t="s">
        <v>290</v>
      </c>
      <c r="F147" s="115" t="s">
        <v>26</v>
      </c>
      <c r="G147" s="146">
        <f>G148+G149</f>
        <v>192.38392000000002</v>
      </c>
      <c r="H147" s="146">
        <f>H148+H149</f>
        <v>192.38392000000002</v>
      </c>
      <c r="I147" s="118">
        <f t="shared" si="13"/>
        <v>100</v>
      </c>
    </row>
    <row r="148" spans="1:9" ht="25.5">
      <c r="A148" s="116" t="s">
        <v>27</v>
      </c>
      <c r="B148" s="113">
        <v>940</v>
      </c>
      <c r="C148" s="114" t="s">
        <v>66</v>
      </c>
      <c r="D148" s="114" t="s">
        <v>12</v>
      </c>
      <c r="E148" s="115" t="s">
        <v>290</v>
      </c>
      <c r="F148" s="177" t="s">
        <v>28</v>
      </c>
      <c r="G148" s="146">
        <f>(70000-62103)/1000</f>
        <v>7.8970000000000002</v>
      </c>
      <c r="H148" s="138">
        <f>7897/1000</f>
        <v>7.8970000000000002</v>
      </c>
      <c r="I148" s="118">
        <f t="shared" si="13"/>
        <v>100</v>
      </c>
    </row>
    <row r="149" spans="1:9">
      <c r="A149" s="116" t="s">
        <v>295</v>
      </c>
      <c r="B149" s="113">
        <v>940</v>
      </c>
      <c r="C149" s="114" t="s">
        <v>66</v>
      </c>
      <c r="D149" s="114" t="s">
        <v>12</v>
      </c>
      <c r="E149" s="115" t="s">
        <v>290</v>
      </c>
      <c r="F149" s="177" t="s">
        <v>29</v>
      </c>
      <c r="G149" s="146">
        <f>(200000-15513.08)/1000</f>
        <v>184.48692000000003</v>
      </c>
      <c r="H149" s="138">
        <f>184486.92/1000</f>
        <v>184.48692000000003</v>
      </c>
      <c r="I149" s="118">
        <f t="shared" si="13"/>
        <v>100</v>
      </c>
    </row>
    <row r="150" spans="1:9" ht="25.5">
      <c r="A150" s="175" t="s">
        <v>287</v>
      </c>
      <c r="B150" s="113">
        <v>940</v>
      </c>
      <c r="C150" s="115" t="s">
        <v>66</v>
      </c>
      <c r="D150" s="115" t="s">
        <v>12</v>
      </c>
      <c r="E150" s="115" t="s">
        <v>296</v>
      </c>
      <c r="F150" s="177"/>
      <c r="G150" s="146">
        <f>G151+G155</f>
        <v>1971</v>
      </c>
      <c r="H150" s="146">
        <f>H151+H155</f>
        <v>1971</v>
      </c>
      <c r="I150" s="118">
        <f t="shared" si="13"/>
        <v>100</v>
      </c>
    </row>
    <row r="151" spans="1:9" ht="38.25">
      <c r="A151" s="116" t="s">
        <v>297</v>
      </c>
      <c r="B151" s="113">
        <v>940</v>
      </c>
      <c r="C151" s="115" t="s">
        <v>66</v>
      </c>
      <c r="D151" s="115" t="s">
        <v>12</v>
      </c>
      <c r="E151" s="115" t="s">
        <v>298</v>
      </c>
      <c r="F151" s="177"/>
      <c r="G151" s="146">
        <f>G152</f>
        <v>657</v>
      </c>
      <c r="H151" s="146">
        <f>H152</f>
        <v>657</v>
      </c>
      <c r="I151" s="118">
        <f t="shared" si="13"/>
        <v>100</v>
      </c>
    </row>
    <row r="152" spans="1:9">
      <c r="A152" s="175" t="s">
        <v>76</v>
      </c>
      <c r="B152" s="113">
        <v>940</v>
      </c>
      <c r="C152" s="115" t="s">
        <v>66</v>
      </c>
      <c r="D152" s="115" t="s">
        <v>12</v>
      </c>
      <c r="E152" s="115" t="s">
        <v>298</v>
      </c>
      <c r="F152" s="115" t="s">
        <v>77</v>
      </c>
      <c r="G152" s="146">
        <f>G153+G154</f>
        <v>657</v>
      </c>
      <c r="H152" s="146">
        <f>H153+H154</f>
        <v>657</v>
      </c>
      <c r="I152" s="118">
        <f t="shared" si="13"/>
        <v>100</v>
      </c>
    </row>
    <row r="153" spans="1:9">
      <c r="A153" s="175" t="s">
        <v>291</v>
      </c>
      <c r="B153" s="113">
        <v>940</v>
      </c>
      <c r="C153" s="114" t="s">
        <v>66</v>
      </c>
      <c r="D153" s="114" t="s">
        <v>12</v>
      </c>
      <c r="E153" s="115" t="s">
        <v>298</v>
      </c>
      <c r="F153" s="115" t="s">
        <v>68</v>
      </c>
      <c r="G153" s="146">
        <f>504600/1000</f>
        <v>504.6</v>
      </c>
      <c r="H153" s="138">
        <f>504600/1000</f>
        <v>504.6</v>
      </c>
      <c r="I153" s="118">
        <f t="shared" si="13"/>
        <v>100</v>
      </c>
    </row>
    <row r="154" spans="1:9" ht="38.25">
      <c r="A154" s="175" t="s">
        <v>293</v>
      </c>
      <c r="B154" s="113">
        <v>940</v>
      </c>
      <c r="C154" s="114" t="s">
        <v>66</v>
      </c>
      <c r="D154" s="114" t="s">
        <v>12</v>
      </c>
      <c r="E154" s="115" t="s">
        <v>298</v>
      </c>
      <c r="F154" s="115" t="s">
        <v>294</v>
      </c>
      <c r="G154" s="146">
        <f>152400/1000</f>
        <v>152.4</v>
      </c>
      <c r="H154" s="138">
        <f>152400/1000</f>
        <v>152.4</v>
      </c>
      <c r="I154" s="118">
        <f t="shared" si="13"/>
        <v>100</v>
      </c>
    </row>
    <row r="155" spans="1:9" ht="51">
      <c r="A155" s="116" t="s">
        <v>299</v>
      </c>
      <c r="B155" s="113">
        <v>940</v>
      </c>
      <c r="C155" s="115" t="s">
        <v>66</v>
      </c>
      <c r="D155" s="115" t="s">
        <v>12</v>
      </c>
      <c r="E155" s="115" t="s">
        <v>300</v>
      </c>
      <c r="F155" s="177"/>
      <c r="G155" s="146">
        <f>G156</f>
        <v>1314</v>
      </c>
      <c r="H155" s="146">
        <f>H156</f>
        <v>1314</v>
      </c>
      <c r="I155" s="118">
        <f t="shared" si="13"/>
        <v>100</v>
      </c>
    </row>
    <row r="156" spans="1:9">
      <c r="A156" s="175" t="s">
        <v>76</v>
      </c>
      <c r="B156" s="113">
        <v>940</v>
      </c>
      <c r="C156" s="115" t="s">
        <v>66</v>
      </c>
      <c r="D156" s="115" t="s">
        <v>12</v>
      </c>
      <c r="E156" s="115" t="s">
        <v>300</v>
      </c>
      <c r="F156" s="115" t="s">
        <v>77</v>
      </c>
      <c r="G156" s="146">
        <f>G157+G158</f>
        <v>1314</v>
      </c>
      <c r="H156" s="146">
        <f>H157+H158</f>
        <v>1314</v>
      </c>
      <c r="I156" s="118">
        <f t="shared" si="13"/>
        <v>100</v>
      </c>
    </row>
    <row r="157" spans="1:9">
      <c r="A157" s="175" t="s">
        <v>291</v>
      </c>
      <c r="B157" s="113">
        <v>940</v>
      </c>
      <c r="C157" s="114" t="s">
        <v>66</v>
      </c>
      <c r="D157" s="114" t="s">
        <v>12</v>
      </c>
      <c r="E157" s="115" t="s">
        <v>300</v>
      </c>
      <c r="F157" s="115" t="s">
        <v>68</v>
      </c>
      <c r="G157" s="146">
        <f>1009200/1000</f>
        <v>1009.2</v>
      </c>
      <c r="H157" s="138">
        <f>1009200/1000</f>
        <v>1009.2</v>
      </c>
      <c r="I157" s="118">
        <f t="shared" si="13"/>
        <v>100</v>
      </c>
    </row>
    <row r="158" spans="1:9" ht="38.25">
      <c r="A158" s="175" t="s">
        <v>293</v>
      </c>
      <c r="B158" s="113">
        <v>940</v>
      </c>
      <c r="C158" s="114" t="s">
        <v>66</v>
      </c>
      <c r="D158" s="114" t="s">
        <v>12</v>
      </c>
      <c r="E158" s="115" t="s">
        <v>300</v>
      </c>
      <c r="F158" s="115" t="s">
        <v>294</v>
      </c>
      <c r="G158" s="146">
        <f>304800/1000</f>
        <v>304.8</v>
      </c>
      <c r="H158" s="138">
        <f>304800/1000</f>
        <v>304.8</v>
      </c>
      <c r="I158" s="118">
        <f t="shared" si="13"/>
        <v>100</v>
      </c>
    </row>
    <row r="159" spans="1:9">
      <c r="A159" s="116" t="s">
        <v>301</v>
      </c>
      <c r="B159" s="113">
        <v>940</v>
      </c>
      <c r="C159" s="114" t="s">
        <v>66</v>
      </c>
      <c r="D159" s="114" t="s">
        <v>12</v>
      </c>
      <c r="E159" s="114" t="s">
        <v>302</v>
      </c>
      <c r="F159" s="177"/>
      <c r="G159" s="146">
        <f t="shared" ref="G159:H162" si="14">G160</f>
        <v>1973.95946</v>
      </c>
      <c r="H159" s="146">
        <f t="shared" si="14"/>
        <v>1973.95946</v>
      </c>
      <c r="I159" s="118">
        <f t="shared" si="13"/>
        <v>100</v>
      </c>
    </row>
    <row r="160" spans="1:9" ht="25.5">
      <c r="A160" s="175" t="s">
        <v>287</v>
      </c>
      <c r="B160" s="113">
        <v>940</v>
      </c>
      <c r="C160" s="114" t="s">
        <v>66</v>
      </c>
      <c r="D160" s="114" t="s">
        <v>12</v>
      </c>
      <c r="E160" s="114" t="s">
        <v>303</v>
      </c>
      <c r="F160" s="177"/>
      <c r="G160" s="146">
        <f t="shared" si="14"/>
        <v>1973.95946</v>
      </c>
      <c r="H160" s="146">
        <f t="shared" si="14"/>
        <v>1973.95946</v>
      </c>
      <c r="I160" s="118">
        <f t="shared" si="13"/>
        <v>100</v>
      </c>
    </row>
    <row r="161" spans="1:9" ht="25.5">
      <c r="A161" s="116" t="s">
        <v>304</v>
      </c>
      <c r="B161" s="113">
        <v>940</v>
      </c>
      <c r="C161" s="114" t="s">
        <v>66</v>
      </c>
      <c r="D161" s="114" t="s">
        <v>12</v>
      </c>
      <c r="E161" s="114" t="s">
        <v>305</v>
      </c>
      <c r="F161" s="177"/>
      <c r="G161" s="146">
        <f t="shared" si="14"/>
        <v>1973.95946</v>
      </c>
      <c r="H161" s="146">
        <f t="shared" si="14"/>
        <v>1973.95946</v>
      </c>
      <c r="I161" s="118">
        <f t="shared" si="13"/>
        <v>100</v>
      </c>
    </row>
    <row r="162" spans="1:9" ht="25.5">
      <c r="A162" s="116" t="s">
        <v>22</v>
      </c>
      <c r="B162" s="113">
        <v>940</v>
      </c>
      <c r="C162" s="114" t="s">
        <v>66</v>
      </c>
      <c r="D162" s="114" t="s">
        <v>12</v>
      </c>
      <c r="E162" s="114" t="s">
        <v>305</v>
      </c>
      <c r="F162" s="177" t="s">
        <v>23</v>
      </c>
      <c r="G162" s="146">
        <f t="shared" si="14"/>
        <v>1973.95946</v>
      </c>
      <c r="H162" s="146">
        <f t="shared" si="14"/>
        <v>1973.95946</v>
      </c>
      <c r="I162" s="118">
        <f t="shared" si="13"/>
        <v>100</v>
      </c>
    </row>
    <row r="163" spans="1:9" ht="25.5">
      <c r="A163" s="116" t="s">
        <v>207</v>
      </c>
      <c r="B163" s="113">
        <v>940</v>
      </c>
      <c r="C163" s="114" t="s">
        <v>66</v>
      </c>
      <c r="D163" s="114" t="s">
        <v>12</v>
      </c>
      <c r="E163" s="114" t="s">
        <v>305</v>
      </c>
      <c r="F163" s="177" t="s">
        <v>24</v>
      </c>
      <c r="G163" s="152">
        <f>(1974000-40.54)/1000</f>
        <v>1973.95946</v>
      </c>
      <c r="H163" s="138">
        <f>1973959.46/1000</f>
        <v>1973.95946</v>
      </c>
      <c r="I163" s="118">
        <f t="shared" si="13"/>
        <v>100</v>
      </c>
    </row>
    <row r="164" spans="1:9" ht="25.5">
      <c r="A164" s="116" t="s">
        <v>306</v>
      </c>
      <c r="B164" s="113">
        <v>940</v>
      </c>
      <c r="C164" s="114" t="s">
        <v>66</v>
      </c>
      <c r="D164" s="114" t="s">
        <v>12</v>
      </c>
      <c r="E164" s="177" t="s">
        <v>307</v>
      </c>
      <c r="F164" s="115"/>
      <c r="G164" s="152">
        <f>G165</f>
        <v>551.24469999999997</v>
      </c>
      <c r="H164" s="152">
        <f>H165</f>
        <v>551.24469999999997</v>
      </c>
      <c r="I164" s="118">
        <f t="shared" si="13"/>
        <v>100</v>
      </c>
    </row>
    <row r="165" spans="1:9" ht="25.5">
      <c r="A165" s="116" t="s">
        <v>22</v>
      </c>
      <c r="B165" s="113">
        <v>940</v>
      </c>
      <c r="C165" s="114" t="s">
        <v>66</v>
      </c>
      <c r="D165" s="114" t="s">
        <v>12</v>
      </c>
      <c r="E165" s="177" t="s">
        <v>308</v>
      </c>
      <c r="F165" s="115" t="s">
        <v>23</v>
      </c>
      <c r="G165" s="152">
        <f>G166</f>
        <v>551.24469999999997</v>
      </c>
      <c r="H165" s="152">
        <f>H166</f>
        <v>551.24469999999997</v>
      </c>
      <c r="I165" s="118">
        <f t="shared" si="13"/>
        <v>100</v>
      </c>
    </row>
    <row r="166" spans="1:9" ht="25.5">
      <c r="A166" s="116" t="s">
        <v>207</v>
      </c>
      <c r="B166" s="113">
        <v>940</v>
      </c>
      <c r="C166" s="114" t="s">
        <v>66</v>
      </c>
      <c r="D166" s="114" t="s">
        <v>12</v>
      </c>
      <c r="E166" s="177" t="s">
        <v>308</v>
      </c>
      <c r="F166" s="115" t="s">
        <v>24</v>
      </c>
      <c r="G166" s="152">
        <f>(650000-98695.3-60)/1000</f>
        <v>551.24469999999997</v>
      </c>
      <c r="H166" s="152">
        <f>551244.7/1000</f>
        <v>551.24469999999997</v>
      </c>
      <c r="I166" s="118">
        <f t="shared" si="13"/>
        <v>100</v>
      </c>
    </row>
    <row r="167" spans="1:9">
      <c r="A167" s="108" t="s">
        <v>42</v>
      </c>
      <c r="B167" s="111">
        <v>940</v>
      </c>
      <c r="C167" s="29" t="s">
        <v>66</v>
      </c>
      <c r="D167" s="29" t="s">
        <v>12</v>
      </c>
      <c r="E167" s="142" t="s">
        <v>309</v>
      </c>
      <c r="F167" s="133" t="s">
        <v>43</v>
      </c>
      <c r="G167" s="151">
        <f>(1000-586.14)/1000</f>
        <v>0.41386000000000001</v>
      </c>
      <c r="H167" s="138">
        <f>413.86/1000</f>
        <v>0.41386000000000001</v>
      </c>
      <c r="I167" s="118">
        <f t="shared" si="13"/>
        <v>100</v>
      </c>
    </row>
    <row r="168" spans="1:9">
      <c r="A168" s="232" t="s">
        <v>69</v>
      </c>
      <c r="B168" s="233">
        <v>940</v>
      </c>
      <c r="C168" s="234" t="s">
        <v>66</v>
      </c>
      <c r="D168" s="234" t="s">
        <v>20</v>
      </c>
      <c r="E168" s="234"/>
      <c r="F168" s="234"/>
      <c r="G168" s="235">
        <f>G169</f>
        <v>9700.6200500000014</v>
      </c>
      <c r="H168" s="235">
        <f>H169</f>
        <v>9700.6200500000014</v>
      </c>
      <c r="I168" s="236">
        <f t="shared" si="13"/>
        <v>100</v>
      </c>
    </row>
    <row r="169" spans="1:9">
      <c r="A169" s="110" t="s">
        <v>215</v>
      </c>
      <c r="B169" s="111">
        <v>940</v>
      </c>
      <c r="C169" s="112" t="s">
        <v>66</v>
      </c>
      <c r="D169" s="112" t="s">
        <v>20</v>
      </c>
      <c r="E169" s="112" t="s">
        <v>216</v>
      </c>
      <c r="F169" s="112"/>
      <c r="G169" s="161">
        <f>G170</f>
        <v>9700.6200500000014</v>
      </c>
      <c r="H169" s="161">
        <f>H170</f>
        <v>9700.6200500000014</v>
      </c>
      <c r="I169" s="118">
        <f t="shared" si="13"/>
        <v>100</v>
      </c>
    </row>
    <row r="170" spans="1:9">
      <c r="A170" s="117" t="s">
        <v>310</v>
      </c>
      <c r="B170" s="111">
        <v>940</v>
      </c>
      <c r="C170" s="29" t="s">
        <v>66</v>
      </c>
      <c r="D170" s="29" t="s">
        <v>20</v>
      </c>
      <c r="E170" s="29" t="s">
        <v>311</v>
      </c>
      <c r="F170" s="29"/>
      <c r="G170" s="151">
        <f>G171+G174+G176</f>
        <v>9700.6200500000014</v>
      </c>
      <c r="H170" s="151">
        <f>H171+H174+H176</f>
        <v>9700.6200500000014</v>
      </c>
      <c r="I170" s="118">
        <f t="shared" si="13"/>
        <v>100</v>
      </c>
    </row>
    <row r="171" spans="1:9">
      <c r="A171" s="109" t="s">
        <v>76</v>
      </c>
      <c r="B171" s="140">
        <v>940</v>
      </c>
      <c r="C171" s="29" t="s">
        <v>66</v>
      </c>
      <c r="D171" s="29" t="s">
        <v>20</v>
      </c>
      <c r="E171" s="29" t="s">
        <v>311</v>
      </c>
      <c r="F171" s="29" t="s">
        <v>77</v>
      </c>
      <c r="G171" s="151">
        <f>G172+G173</f>
        <v>9335.797340000001</v>
      </c>
      <c r="H171" s="151">
        <f>H172+H173</f>
        <v>9335.797340000001</v>
      </c>
      <c r="I171" s="118">
        <f t="shared" si="13"/>
        <v>100</v>
      </c>
    </row>
    <row r="172" spans="1:9">
      <c r="A172" s="109" t="s">
        <v>291</v>
      </c>
      <c r="B172" s="111">
        <v>940</v>
      </c>
      <c r="C172" s="29" t="s">
        <v>66</v>
      </c>
      <c r="D172" s="29" t="s">
        <v>20</v>
      </c>
      <c r="E172" s="29" t="s">
        <v>311</v>
      </c>
      <c r="F172" s="133" t="s">
        <v>68</v>
      </c>
      <c r="G172" s="151">
        <f>(7983758-724745.42)/1000</f>
        <v>7259.0125800000005</v>
      </c>
      <c r="H172" s="138">
        <f>7259012.58/1000</f>
        <v>7259.0125800000005</v>
      </c>
      <c r="I172" s="118">
        <f t="shared" si="13"/>
        <v>100</v>
      </c>
    </row>
    <row r="173" spans="1:9" ht="38.25">
      <c r="A173" s="109" t="s">
        <v>293</v>
      </c>
      <c r="B173" s="111">
        <v>940</v>
      </c>
      <c r="C173" s="29" t="s">
        <v>66</v>
      </c>
      <c r="D173" s="29" t="s">
        <v>20</v>
      </c>
      <c r="E173" s="29" t="s">
        <v>311</v>
      </c>
      <c r="F173" s="133" t="s">
        <v>294</v>
      </c>
      <c r="G173" s="151">
        <f>(2411142-334357.24)/1000</f>
        <v>2076.78476</v>
      </c>
      <c r="H173" s="138">
        <f>2076784.76/1000</f>
        <v>2076.78476</v>
      </c>
      <c r="I173" s="118">
        <f t="shared" si="13"/>
        <v>100</v>
      </c>
    </row>
    <row r="174" spans="1:9" ht="25.5">
      <c r="A174" s="108" t="s">
        <v>22</v>
      </c>
      <c r="B174" s="111">
        <v>940</v>
      </c>
      <c r="C174" s="29" t="s">
        <v>66</v>
      </c>
      <c r="D174" s="29" t="s">
        <v>20</v>
      </c>
      <c r="E174" s="29" t="s">
        <v>311</v>
      </c>
      <c r="F174" s="133" t="s">
        <v>23</v>
      </c>
      <c r="G174" s="151">
        <f>G175</f>
        <v>350.06099999999998</v>
      </c>
      <c r="H174" s="151">
        <f>H175</f>
        <v>350.06099999999998</v>
      </c>
      <c r="I174" s="118">
        <f t="shared" si="13"/>
        <v>100</v>
      </c>
    </row>
    <row r="175" spans="1:9" ht="25.5">
      <c r="A175" s="108" t="s">
        <v>207</v>
      </c>
      <c r="B175" s="111">
        <v>940</v>
      </c>
      <c r="C175" s="29" t="s">
        <v>66</v>
      </c>
      <c r="D175" s="29" t="s">
        <v>20</v>
      </c>
      <c r="E175" s="29" t="s">
        <v>311</v>
      </c>
      <c r="F175" s="133" t="s">
        <v>24</v>
      </c>
      <c r="G175" s="151">
        <f>(375200-25139)/1000</f>
        <v>350.06099999999998</v>
      </c>
      <c r="H175" s="138">
        <f>350061/1000</f>
        <v>350.06099999999998</v>
      </c>
      <c r="I175" s="118">
        <f t="shared" si="13"/>
        <v>100</v>
      </c>
    </row>
    <row r="176" spans="1:9">
      <c r="A176" s="108" t="s">
        <v>25</v>
      </c>
      <c r="B176" s="111">
        <v>940</v>
      </c>
      <c r="C176" s="29" t="s">
        <v>66</v>
      </c>
      <c r="D176" s="29" t="s">
        <v>20</v>
      </c>
      <c r="E176" s="29" t="s">
        <v>311</v>
      </c>
      <c r="F176" s="133" t="s">
        <v>26</v>
      </c>
      <c r="G176" s="151">
        <f>G177+G178</f>
        <v>14.761709999999999</v>
      </c>
      <c r="H176" s="151">
        <f>H177+H178</f>
        <v>14.761709999999999</v>
      </c>
      <c r="I176" s="118">
        <f t="shared" si="13"/>
        <v>100</v>
      </c>
    </row>
    <row r="177" spans="1:9" ht="25.5">
      <c r="A177" s="108" t="s">
        <v>27</v>
      </c>
      <c r="B177" s="111">
        <v>940</v>
      </c>
      <c r="C177" s="29" t="s">
        <v>66</v>
      </c>
      <c r="D177" s="29" t="s">
        <v>20</v>
      </c>
      <c r="E177" s="29" t="s">
        <v>311</v>
      </c>
      <c r="F177" s="141" t="s">
        <v>28</v>
      </c>
      <c r="G177" s="151">
        <f>2739.61-2739.61</f>
        <v>0</v>
      </c>
      <c r="H177" s="138">
        <v>0</v>
      </c>
      <c r="I177" s="118" t="e">
        <f t="shared" si="13"/>
        <v>#DIV/0!</v>
      </c>
    </row>
    <row r="178" spans="1:9">
      <c r="A178" s="108" t="s">
        <v>295</v>
      </c>
      <c r="B178" s="140">
        <v>940</v>
      </c>
      <c r="C178" s="29" t="s">
        <v>66</v>
      </c>
      <c r="D178" s="29" t="s">
        <v>20</v>
      </c>
      <c r="E178" s="29" t="s">
        <v>311</v>
      </c>
      <c r="F178" s="141" t="s">
        <v>29</v>
      </c>
      <c r="G178" s="151">
        <f>(9260.39+5500.02+1.3)/1000</f>
        <v>14.761709999999999</v>
      </c>
      <c r="H178" s="138">
        <f>14761.71/1000</f>
        <v>14.761709999999999</v>
      </c>
      <c r="I178" s="118">
        <f t="shared" si="13"/>
        <v>100</v>
      </c>
    </row>
    <row r="179" spans="1:9">
      <c r="A179" s="153" t="s">
        <v>70</v>
      </c>
      <c r="B179" s="154" t="s">
        <v>49</v>
      </c>
      <c r="C179" s="126" t="s">
        <v>50</v>
      </c>
      <c r="D179" s="178"/>
      <c r="E179" s="178"/>
      <c r="F179" s="178"/>
      <c r="G179" s="147">
        <f t="shared" ref="G179:H183" si="15">G180</f>
        <v>294.68387999999999</v>
      </c>
      <c r="H179" s="147">
        <f t="shared" si="15"/>
        <v>294.68387999999999</v>
      </c>
      <c r="I179" s="221">
        <f t="shared" si="13"/>
        <v>100</v>
      </c>
    </row>
    <row r="180" spans="1:9">
      <c r="A180" s="213" t="s">
        <v>71</v>
      </c>
      <c r="B180" s="229" t="s">
        <v>49</v>
      </c>
      <c r="C180" s="214" t="s">
        <v>50</v>
      </c>
      <c r="D180" s="215" t="s">
        <v>12</v>
      </c>
      <c r="E180" s="215"/>
      <c r="F180" s="215"/>
      <c r="G180" s="216">
        <f t="shared" si="15"/>
        <v>294.68387999999999</v>
      </c>
      <c r="H180" s="216">
        <f t="shared" si="15"/>
        <v>294.68387999999999</v>
      </c>
      <c r="I180" s="222">
        <f t="shared" si="13"/>
        <v>100</v>
      </c>
    </row>
    <row r="181" spans="1:9">
      <c r="A181" s="87" t="s">
        <v>215</v>
      </c>
      <c r="B181" s="179" t="s">
        <v>49</v>
      </c>
      <c r="C181" s="133" t="s">
        <v>50</v>
      </c>
      <c r="D181" s="180" t="s">
        <v>12</v>
      </c>
      <c r="E181" s="180" t="s">
        <v>216</v>
      </c>
      <c r="F181" s="180"/>
      <c r="G181" s="137">
        <f t="shared" si="15"/>
        <v>294.68387999999999</v>
      </c>
      <c r="H181" s="137">
        <f t="shared" si="15"/>
        <v>294.68387999999999</v>
      </c>
      <c r="I181" s="118">
        <f t="shared" si="13"/>
        <v>100</v>
      </c>
    </row>
    <row r="182" spans="1:9">
      <c r="A182" s="87" t="s">
        <v>312</v>
      </c>
      <c r="B182" s="179" t="s">
        <v>49</v>
      </c>
      <c r="C182" s="133" t="s">
        <v>50</v>
      </c>
      <c r="D182" s="180" t="s">
        <v>12</v>
      </c>
      <c r="E182" s="180" t="s">
        <v>313</v>
      </c>
      <c r="F182" s="180"/>
      <c r="G182" s="137">
        <f t="shared" si="15"/>
        <v>294.68387999999999</v>
      </c>
      <c r="H182" s="137">
        <f t="shared" si="15"/>
        <v>294.68387999999999</v>
      </c>
      <c r="I182" s="118">
        <f t="shared" si="13"/>
        <v>100</v>
      </c>
    </row>
    <row r="183" spans="1:9" ht="25.5">
      <c r="A183" s="108" t="s">
        <v>314</v>
      </c>
      <c r="B183" s="179" t="s">
        <v>49</v>
      </c>
      <c r="C183" s="133" t="s">
        <v>50</v>
      </c>
      <c r="D183" s="180" t="s">
        <v>12</v>
      </c>
      <c r="E183" s="180" t="s">
        <v>313</v>
      </c>
      <c r="F183" s="180" t="s">
        <v>315</v>
      </c>
      <c r="G183" s="137">
        <f t="shared" si="15"/>
        <v>294.68387999999999</v>
      </c>
      <c r="H183" s="137">
        <f t="shared" si="15"/>
        <v>294.68387999999999</v>
      </c>
      <c r="I183" s="118">
        <f t="shared" si="13"/>
        <v>100</v>
      </c>
    </row>
    <row r="184" spans="1:9" ht="38.25">
      <c r="A184" s="87" t="s">
        <v>72</v>
      </c>
      <c r="B184" s="179" t="s">
        <v>49</v>
      </c>
      <c r="C184" s="133" t="s">
        <v>50</v>
      </c>
      <c r="D184" s="180" t="s">
        <v>12</v>
      </c>
      <c r="E184" s="180" t="s">
        <v>313</v>
      </c>
      <c r="F184" s="180" t="s">
        <v>73</v>
      </c>
      <c r="G184" s="137">
        <f>(306000-11316.12)/1000</f>
        <v>294.68387999999999</v>
      </c>
      <c r="H184" s="138">
        <f>294683.88/1000</f>
        <v>294.68387999999999</v>
      </c>
      <c r="I184" s="118">
        <f t="shared" si="13"/>
        <v>100</v>
      </c>
    </row>
    <row r="185" spans="1:9">
      <c r="A185" s="124" t="s">
        <v>74</v>
      </c>
      <c r="B185" s="125">
        <v>940</v>
      </c>
      <c r="C185" s="126" t="s">
        <v>38</v>
      </c>
      <c r="D185" s="126"/>
      <c r="E185" s="126"/>
      <c r="F185" s="126"/>
      <c r="G185" s="147">
        <f>G186+G200</f>
        <v>18057.81178</v>
      </c>
      <c r="H185" s="147">
        <f>H186+H200</f>
        <v>17499.31178</v>
      </c>
      <c r="I185" s="221">
        <f t="shared" si="13"/>
        <v>96.907155712971999</v>
      </c>
    </row>
    <row r="186" spans="1:9">
      <c r="A186" s="148" t="s">
        <v>75</v>
      </c>
      <c r="B186" s="149" t="s">
        <v>49</v>
      </c>
      <c r="C186" s="130" t="s">
        <v>38</v>
      </c>
      <c r="D186" s="181" t="s">
        <v>12</v>
      </c>
      <c r="E186" s="181"/>
      <c r="F186" s="181"/>
      <c r="G186" s="145">
        <f t="shared" ref="G186:H189" si="16">G187</f>
        <v>17295.68678</v>
      </c>
      <c r="H186" s="145">
        <f t="shared" si="16"/>
        <v>16737.18678</v>
      </c>
      <c r="I186" s="222">
        <f t="shared" si="13"/>
        <v>96.770871217176378</v>
      </c>
    </row>
    <row r="187" spans="1:9" ht="25.5">
      <c r="A187" s="182" t="s">
        <v>316</v>
      </c>
      <c r="B187" s="183" t="s">
        <v>49</v>
      </c>
      <c r="C187" s="184" t="s">
        <v>38</v>
      </c>
      <c r="D187" s="185" t="s">
        <v>12</v>
      </c>
      <c r="E187" s="185" t="s">
        <v>317</v>
      </c>
      <c r="F187" s="185"/>
      <c r="G187" s="174">
        <f t="shared" si="16"/>
        <v>17295.68678</v>
      </c>
      <c r="H187" s="174">
        <f t="shared" si="16"/>
        <v>16737.18678</v>
      </c>
      <c r="I187" s="118">
        <f t="shared" si="13"/>
        <v>96.770871217176378</v>
      </c>
    </row>
    <row r="188" spans="1:9" ht="25.5">
      <c r="A188" s="87" t="s">
        <v>318</v>
      </c>
      <c r="B188" s="179" t="s">
        <v>49</v>
      </c>
      <c r="C188" s="133" t="s">
        <v>38</v>
      </c>
      <c r="D188" s="180" t="s">
        <v>12</v>
      </c>
      <c r="E188" s="180" t="s">
        <v>319</v>
      </c>
      <c r="F188" s="180"/>
      <c r="G188" s="137">
        <f t="shared" si="16"/>
        <v>17295.68678</v>
      </c>
      <c r="H188" s="137">
        <f t="shared" si="16"/>
        <v>16737.18678</v>
      </c>
      <c r="I188" s="118">
        <f t="shared" si="13"/>
        <v>96.770871217176378</v>
      </c>
    </row>
    <row r="189" spans="1:9" ht="25.5">
      <c r="A189" s="109" t="s">
        <v>287</v>
      </c>
      <c r="B189" s="162">
        <v>940</v>
      </c>
      <c r="C189" s="133" t="s">
        <v>38</v>
      </c>
      <c r="D189" s="180" t="s">
        <v>12</v>
      </c>
      <c r="E189" s="180" t="s">
        <v>320</v>
      </c>
      <c r="F189" s="180"/>
      <c r="G189" s="137">
        <f t="shared" si="16"/>
        <v>17295.68678</v>
      </c>
      <c r="H189" s="137">
        <f t="shared" si="16"/>
        <v>16737.18678</v>
      </c>
      <c r="I189" s="118">
        <f t="shared" si="13"/>
        <v>96.770871217176378</v>
      </c>
    </row>
    <row r="190" spans="1:9">
      <c r="A190" s="109" t="s">
        <v>321</v>
      </c>
      <c r="B190" s="162">
        <v>940</v>
      </c>
      <c r="C190" s="133" t="s">
        <v>38</v>
      </c>
      <c r="D190" s="180" t="s">
        <v>12</v>
      </c>
      <c r="E190" s="180" t="s">
        <v>322</v>
      </c>
      <c r="F190" s="180"/>
      <c r="G190" s="137">
        <f>G191+G195+G197</f>
        <v>17295.68678</v>
      </c>
      <c r="H190" s="137">
        <f>H191+H195+H197</f>
        <v>16737.18678</v>
      </c>
      <c r="I190" s="118">
        <f t="shared" si="13"/>
        <v>96.770871217176378</v>
      </c>
    </row>
    <row r="191" spans="1:9">
      <c r="A191" s="109" t="s">
        <v>76</v>
      </c>
      <c r="B191" s="162">
        <v>940</v>
      </c>
      <c r="C191" s="133" t="s">
        <v>38</v>
      </c>
      <c r="D191" s="180" t="s">
        <v>12</v>
      </c>
      <c r="E191" s="180" t="s">
        <v>322</v>
      </c>
      <c r="F191" s="180" t="s">
        <v>77</v>
      </c>
      <c r="G191" s="137">
        <f>G192+G194+G193</f>
        <v>13984.65473</v>
      </c>
      <c r="H191" s="137">
        <f>H192+H194+H193</f>
        <v>13984.65473</v>
      </c>
      <c r="I191" s="118">
        <f t="shared" si="13"/>
        <v>100</v>
      </c>
    </row>
    <row r="192" spans="1:9">
      <c r="A192" s="109" t="s">
        <v>291</v>
      </c>
      <c r="B192" s="132">
        <v>940</v>
      </c>
      <c r="C192" s="133" t="s">
        <v>38</v>
      </c>
      <c r="D192" s="180" t="s">
        <v>12</v>
      </c>
      <c r="E192" s="180" t="s">
        <v>322</v>
      </c>
      <c r="F192" s="133" t="s">
        <v>68</v>
      </c>
      <c r="G192" s="137">
        <f>(10450800+1200000-824859.62)/1000</f>
        <v>10825.94038</v>
      </c>
      <c r="H192" s="138">
        <f>10825940.38/1000</f>
        <v>10825.94038</v>
      </c>
      <c r="I192" s="118">
        <f t="shared" si="13"/>
        <v>100</v>
      </c>
    </row>
    <row r="193" spans="1:9" ht="25.5">
      <c r="A193" s="109" t="s">
        <v>292</v>
      </c>
      <c r="B193" s="132">
        <v>940</v>
      </c>
      <c r="C193" s="133" t="s">
        <v>38</v>
      </c>
      <c r="D193" s="180" t="s">
        <v>12</v>
      </c>
      <c r="E193" s="180" t="s">
        <v>322</v>
      </c>
      <c r="F193" s="133" t="s">
        <v>98</v>
      </c>
      <c r="G193" s="137">
        <f>(4000-3400)/1000</f>
        <v>0.6</v>
      </c>
      <c r="H193" s="138">
        <f>600/1000</f>
        <v>0.6</v>
      </c>
      <c r="I193" s="118">
        <f t="shared" si="13"/>
        <v>100</v>
      </c>
    </row>
    <row r="194" spans="1:9" ht="38.25">
      <c r="A194" s="109" t="s">
        <v>293</v>
      </c>
      <c r="B194" s="132">
        <v>940</v>
      </c>
      <c r="C194" s="133" t="s">
        <v>38</v>
      </c>
      <c r="D194" s="180" t="s">
        <v>12</v>
      </c>
      <c r="E194" s="180" t="s">
        <v>322</v>
      </c>
      <c r="F194" s="133" t="s">
        <v>294</v>
      </c>
      <c r="G194" s="137">
        <f>(3156100+300000-297985.65)/1000</f>
        <v>3158.1143500000003</v>
      </c>
      <c r="H194" s="138">
        <f>3158114.35/1000</f>
        <v>3158.1143500000003</v>
      </c>
      <c r="I194" s="118">
        <f t="shared" si="13"/>
        <v>100</v>
      </c>
    </row>
    <row r="195" spans="1:9" ht="25.5">
      <c r="A195" s="108" t="s">
        <v>22</v>
      </c>
      <c r="B195" s="132">
        <v>940</v>
      </c>
      <c r="C195" s="133" t="s">
        <v>38</v>
      </c>
      <c r="D195" s="180" t="s">
        <v>12</v>
      </c>
      <c r="E195" s="180" t="s">
        <v>322</v>
      </c>
      <c r="F195" s="133" t="s">
        <v>23</v>
      </c>
      <c r="G195" s="137">
        <f>G196</f>
        <v>3245.0560499999997</v>
      </c>
      <c r="H195" s="137">
        <f>H196</f>
        <v>2686.5560499999997</v>
      </c>
      <c r="I195" s="118">
        <f t="shared" si="13"/>
        <v>82.78920328664276</v>
      </c>
    </row>
    <row r="196" spans="1:9" ht="25.5">
      <c r="A196" s="108" t="s">
        <v>207</v>
      </c>
      <c r="B196" s="140">
        <v>940</v>
      </c>
      <c r="C196" s="133" t="s">
        <v>38</v>
      </c>
      <c r="D196" s="180" t="s">
        <v>12</v>
      </c>
      <c r="E196" s="180" t="s">
        <v>322</v>
      </c>
      <c r="F196" s="133" t="s">
        <v>24</v>
      </c>
      <c r="G196" s="137">
        <f>(4954200-1500000-209143.95)/1000</f>
        <v>3245.0560499999997</v>
      </c>
      <c r="H196" s="138">
        <f>2686556.05/1000</f>
        <v>2686.5560499999997</v>
      </c>
      <c r="I196" s="118">
        <f t="shared" si="13"/>
        <v>82.78920328664276</v>
      </c>
    </row>
    <row r="197" spans="1:9">
      <c r="A197" s="108" t="s">
        <v>25</v>
      </c>
      <c r="B197" s="140">
        <v>940</v>
      </c>
      <c r="C197" s="133" t="s">
        <v>38</v>
      </c>
      <c r="D197" s="180" t="s">
        <v>12</v>
      </c>
      <c r="E197" s="180" t="s">
        <v>322</v>
      </c>
      <c r="F197" s="141" t="s">
        <v>26</v>
      </c>
      <c r="G197" s="137">
        <f>G198+G199</f>
        <v>65.975999999999999</v>
      </c>
      <c r="H197" s="137">
        <f>H198+H199</f>
        <v>65.975999999999999</v>
      </c>
      <c r="I197" s="118">
        <f t="shared" si="13"/>
        <v>100</v>
      </c>
    </row>
    <row r="198" spans="1:9" ht="25.5">
      <c r="A198" s="108" t="s">
        <v>27</v>
      </c>
      <c r="B198" s="140">
        <v>940</v>
      </c>
      <c r="C198" s="133" t="s">
        <v>38</v>
      </c>
      <c r="D198" s="180" t="s">
        <v>12</v>
      </c>
      <c r="E198" s="180" t="s">
        <v>322</v>
      </c>
      <c r="F198" s="141" t="s">
        <v>28</v>
      </c>
      <c r="G198" s="137">
        <f>(60000-17098)/1000</f>
        <v>42.902000000000001</v>
      </c>
      <c r="H198" s="138">
        <f>42902/1000</f>
        <v>42.902000000000001</v>
      </c>
      <c r="I198" s="118">
        <f t="shared" si="13"/>
        <v>100</v>
      </c>
    </row>
    <row r="199" spans="1:9">
      <c r="A199" s="108" t="s">
        <v>295</v>
      </c>
      <c r="B199" s="140">
        <v>940</v>
      </c>
      <c r="C199" s="133" t="s">
        <v>38</v>
      </c>
      <c r="D199" s="180" t="s">
        <v>12</v>
      </c>
      <c r="E199" s="180" t="s">
        <v>322</v>
      </c>
      <c r="F199" s="141" t="s">
        <v>29</v>
      </c>
      <c r="G199" s="137">
        <f>(10000+12520.2+553.8)/1000</f>
        <v>23.074000000000002</v>
      </c>
      <c r="H199" s="138">
        <f>23074/1000</f>
        <v>23.074000000000002</v>
      </c>
      <c r="I199" s="118">
        <f t="shared" si="13"/>
        <v>100</v>
      </c>
    </row>
    <row r="200" spans="1:9">
      <c r="A200" s="217" t="s">
        <v>78</v>
      </c>
      <c r="B200" s="230">
        <v>940</v>
      </c>
      <c r="C200" s="214" t="s">
        <v>38</v>
      </c>
      <c r="D200" s="215" t="s">
        <v>14</v>
      </c>
      <c r="E200" s="218"/>
      <c r="F200" s="218"/>
      <c r="G200" s="219">
        <f t="shared" ref="G200:H205" si="17">G201</f>
        <v>762.125</v>
      </c>
      <c r="H200" s="219">
        <f t="shared" si="17"/>
        <v>762.125</v>
      </c>
      <c r="I200" s="222">
        <f t="shared" si="13"/>
        <v>100</v>
      </c>
    </row>
    <row r="201" spans="1:9" ht="25.5">
      <c r="A201" s="182" t="s">
        <v>316</v>
      </c>
      <c r="B201" s="179" t="s">
        <v>49</v>
      </c>
      <c r="C201" s="133" t="s">
        <v>38</v>
      </c>
      <c r="D201" s="180" t="s">
        <v>14</v>
      </c>
      <c r="E201" s="180" t="s">
        <v>317</v>
      </c>
      <c r="F201" s="180"/>
      <c r="G201" s="137">
        <f t="shared" si="17"/>
        <v>762.125</v>
      </c>
      <c r="H201" s="137">
        <f t="shared" si="17"/>
        <v>762.125</v>
      </c>
      <c r="I201" s="118">
        <f t="shared" si="13"/>
        <v>100</v>
      </c>
    </row>
    <row r="202" spans="1:9" ht="25.5">
      <c r="A202" s="87" t="s">
        <v>323</v>
      </c>
      <c r="B202" s="179" t="s">
        <v>49</v>
      </c>
      <c r="C202" s="133" t="s">
        <v>38</v>
      </c>
      <c r="D202" s="180" t="s">
        <v>14</v>
      </c>
      <c r="E202" s="180" t="s">
        <v>324</v>
      </c>
      <c r="F202" s="180"/>
      <c r="G202" s="137">
        <f t="shared" si="17"/>
        <v>762.125</v>
      </c>
      <c r="H202" s="137">
        <f t="shared" si="17"/>
        <v>762.125</v>
      </c>
      <c r="I202" s="118">
        <f t="shared" si="13"/>
        <v>100</v>
      </c>
    </row>
    <row r="203" spans="1:9" ht="25.5">
      <c r="A203" s="109" t="s">
        <v>287</v>
      </c>
      <c r="B203" s="179" t="s">
        <v>49</v>
      </c>
      <c r="C203" s="133" t="s">
        <v>38</v>
      </c>
      <c r="D203" s="180" t="s">
        <v>14</v>
      </c>
      <c r="E203" s="180" t="s">
        <v>325</v>
      </c>
      <c r="F203" s="180"/>
      <c r="G203" s="137">
        <f t="shared" si="17"/>
        <v>762.125</v>
      </c>
      <c r="H203" s="137">
        <f t="shared" si="17"/>
        <v>762.125</v>
      </c>
      <c r="I203" s="118">
        <f t="shared" ref="I203:I237" si="18">H203/G203*100</f>
        <v>100</v>
      </c>
    </row>
    <row r="204" spans="1:9" ht="25.5">
      <c r="A204" s="109" t="s">
        <v>326</v>
      </c>
      <c r="B204" s="179" t="s">
        <v>49</v>
      </c>
      <c r="C204" s="133" t="s">
        <v>38</v>
      </c>
      <c r="D204" s="180" t="s">
        <v>14</v>
      </c>
      <c r="E204" s="180" t="s">
        <v>327</v>
      </c>
      <c r="F204" s="180"/>
      <c r="G204" s="137">
        <f t="shared" si="17"/>
        <v>762.125</v>
      </c>
      <c r="H204" s="137">
        <f t="shared" si="17"/>
        <v>762.125</v>
      </c>
      <c r="I204" s="118">
        <f t="shared" si="18"/>
        <v>100</v>
      </c>
    </row>
    <row r="205" spans="1:9" ht="25.5">
      <c r="A205" s="108" t="s">
        <v>22</v>
      </c>
      <c r="B205" s="179" t="s">
        <v>49</v>
      </c>
      <c r="C205" s="133" t="s">
        <v>38</v>
      </c>
      <c r="D205" s="180" t="s">
        <v>14</v>
      </c>
      <c r="E205" s="180" t="s">
        <v>327</v>
      </c>
      <c r="F205" s="180" t="s">
        <v>23</v>
      </c>
      <c r="G205" s="137">
        <f t="shared" si="17"/>
        <v>762.125</v>
      </c>
      <c r="H205" s="137">
        <f t="shared" si="17"/>
        <v>762.125</v>
      </c>
      <c r="I205" s="118">
        <f t="shared" si="18"/>
        <v>100</v>
      </c>
    </row>
    <row r="206" spans="1:9" ht="25.5">
      <c r="A206" s="108" t="s">
        <v>207</v>
      </c>
      <c r="B206" s="140">
        <v>940</v>
      </c>
      <c r="C206" s="133" t="s">
        <v>38</v>
      </c>
      <c r="D206" s="180" t="s">
        <v>14</v>
      </c>
      <c r="E206" s="180" t="s">
        <v>327</v>
      </c>
      <c r="F206" s="133" t="s">
        <v>24</v>
      </c>
      <c r="G206" s="137">
        <f>(780000-17875)/1000</f>
        <v>762.125</v>
      </c>
      <c r="H206" s="138">
        <f>762125/1000</f>
        <v>762.125</v>
      </c>
      <c r="I206" s="118">
        <f t="shared" si="18"/>
        <v>100</v>
      </c>
    </row>
    <row r="207" spans="1:9">
      <c r="A207" s="186" t="s">
        <v>79</v>
      </c>
      <c r="B207" s="187">
        <v>940</v>
      </c>
      <c r="C207" s="188" t="s">
        <v>55</v>
      </c>
      <c r="D207" s="188"/>
      <c r="E207" s="188"/>
      <c r="F207" s="188"/>
      <c r="G207" s="189">
        <f t="shared" ref="G207:H211" si="19">G208</f>
        <v>5690.5468299999993</v>
      </c>
      <c r="H207" s="189">
        <f t="shared" si="19"/>
        <v>5690.5468299999993</v>
      </c>
      <c r="I207" s="221">
        <f t="shared" si="18"/>
        <v>100</v>
      </c>
    </row>
    <row r="208" spans="1:9">
      <c r="A208" s="217" t="s">
        <v>80</v>
      </c>
      <c r="B208" s="230">
        <v>940</v>
      </c>
      <c r="C208" s="218" t="s">
        <v>55</v>
      </c>
      <c r="D208" s="218" t="s">
        <v>14</v>
      </c>
      <c r="E208" s="218"/>
      <c r="F208" s="218"/>
      <c r="G208" s="219">
        <f t="shared" si="19"/>
        <v>5690.5468299999993</v>
      </c>
      <c r="H208" s="219">
        <f t="shared" si="19"/>
        <v>5690.5468299999993</v>
      </c>
      <c r="I208" s="222">
        <f t="shared" si="18"/>
        <v>100</v>
      </c>
    </row>
    <row r="209" spans="1:9" ht="25.5">
      <c r="A209" s="117" t="s">
        <v>81</v>
      </c>
      <c r="B209" s="162">
        <v>940</v>
      </c>
      <c r="C209" s="141" t="s">
        <v>55</v>
      </c>
      <c r="D209" s="141" t="s">
        <v>14</v>
      </c>
      <c r="E209" s="29" t="s">
        <v>328</v>
      </c>
      <c r="F209" s="29"/>
      <c r="G209" s="139">
        <f t="shared" si="19"/>
        <v>5690.5468299999993</v>
      </c>
      <c r="H209" s="139">
        <f t="shared" si="19"/>
        <v>5690.5468299999993</v>
      </c>
      <c r="I209" s="118">
        <f t="shared" si="18"/>
        <v>100</v>
      </c>
    </row>
    <row r="210" spans="1:9">
      <c r="A210" s="117" t="s">
        <v>329</v>
      </c>
      <c r="B210" s="162">
        <v>940</v>
      </c>
      <c r="C210" s="141" t="s">
        <v>55</v>
      </c>
      <c r="D210" s="141" t="s">
        <v>14</v>
      </c>
      <c r="E210" s="29" t="s">
        <v>330</v>
      </c>
      <c r="F210" s="29"/>
      <c r="G210" s="139">
        <f t="shared" si="19"/>
        <v>5690.5468299999993</v>
      </c>
      <c r="H210" s="139">
        <f t="shared" si="19"/>
        <v>5690.5468299999993</v>
      </c>
      <c r="I210" s="118">
        <f t="shared" si="18"/>
        <v>100</v>
      </c>
    </row>
    <row r="211" spans="1:9" ht="25.5">
      <c r="A211" s="109" t="s">
        <v>287</v>
      </c>
      <c r="B211" s="162">
        <v>940</v>
      </c>
      <c r="C211" s="141" t="s">
        <v>55</v>
      </c>
      <c r="D211" s="141" t="s">
        <v>14</v>
      </c>
      <c r="E211" s="29" t="s">
        <v>331</v>
      </c>
      <c r="F211" s="29"/>
      <c r="G211" s="139">
        <f t="shared" si="19"/>
        <v>5690.5468299999993</v>
      </c>
      <c r="H211" s="139">
        <f t="shared" si="19"/>
        <v>5690.5468299999993</v>
      </c>
      <c r="I211" s="118">
        <f t="shared" si="18"/>
        <v>100</v>
      </c>
    </row>
    <row r="212" spans="1:9">
      <c r="A212" s="117" t="s">
        <v>332</v>
      </c>
      <c r="B212" s="162">
        <v>940</v>
      </c>
      <c r="C212" s="141" t="s">
        <v>55</v>
      </c>
      <c r="D212" s="141" t="s">
        <v>14</v>
      </c>
      <c r="E212" s="29" t="s">
        <v>333</v>
      </c>
      <c r="F212" s="29"/>
      <c r="G212" s="139">
        <f>G213+G216+G218</f>
        <v>5690.5468299999993</v>
      </c>
      <c r="H212" s="139">
        <f>H213+H216+H218</f>
        <v>5690.5468299999993</v>
      </c>
      <c r="I212" s="118">
        <f t="shared" si="18"/>
        <v>100</v>
      </c>
    </row>
    <row r="213" spans="1:9">
      <c r="A213" s="109" t="s">
        <v>76</v>
      </c>
      <c r="B213" s="162">
        <v>940</v>
      </c>
      <c r="C213" s="141" t="s">
        <v>55</v>
      </c>
      <c r="D213" s="141" t="s">
        <v>14</v>
      </c>
      <c r="E213" s="29" t="s">
        <v>333</v>
      </c>
      <c r="F213" s="29" t="s">
        <v>77</v>
      </c>
      <c r="G213" s="139">
        <f>G214+G215</f>
        <v>4344.4297900000001</v>
      </c>
      <c r="H213" s="139">
        <f>H214+H215</f>
        <v>4344.4297900000001</v>
      </c>
      <c r="I213" s="118">
        <f t="shared" si="18"/>
        <v>100</v>
      </c>
    </row>
    <row r="214" spans="1:9">
      <c r="A214" s="109" t="s">
        <v>291</v>
      </c>
      <c r="B214" s="132">
        <v>940</v>
      </c>
      <c r="C214" s="141" t="s">
        <v>55</v>
      </c>
      <c r="D214" s="141" t="s">
        <v>14</v>
      </c>
      <c r="E214" s="29" t="s">
        <v>333</v>
      </c>
      <c r="F214" s="133" t="s">
        <v>68</v>
      </c>
      <c r="G214" s="139">
        <f>(3228300+207000-126520.85)/1000</f>
        <v>3308.7791499999998</v>
      </c>
      <c r="H214" s="138">
        <f>3308779.15/1000</f>
        <v>3308.7791499999998</v>
      </c>
      <c r="I214" s="118">
        <f t="shared" si="18"/>
        <v>100</v>
      </c>
    </row>
    <row r="215" spans="1:9" ht="38.25">
      <c r="A215" s="109" t="s">
        <v>293</v>
      </c>
      <c r="B215" s="141" t="s">
        <v>49</v>
      </c>
      <c r="C215" s="141" t="s">
        <v>55</v>
      </c>
      <c r="D215" s="141" t="s">
        <v>14</v>
      </c>
      <c r="E215" s="29" t="s">
        <v>333</v>
      </c>
      <c r="F215" s="133" t="s">
        <v>294</v>
      </c>
      <c r="G215" s="139">
        <f>(1299000+40000-303349.36)/1000</f>
        <v>1035.6506400000001</v>
      </c>
      <c r="H215" s="138">
        <f>1035650.64/1000</f>
        <v>1035.6506400000001</v>
      </c>
      <c r="I215" s="118">
        <f t="shared" si="18"/>
        <v>100</v>
      </c>
    </row>
    <row r="216" spans="1:9" ht="25.5">
      <c r="A216" s="108" t="s">
        <v>22</v>
      </c>
      <c r="B216" s="132">
        <v>940</v>
      </c>
      <c r="C216" s="141" t="s">
        <v>55</v>
      </c>
      <c r="D216" s="141" t="s">
        <v>14</v>
      </c>
      <c r="E216" s="29" t="s">
        <v>333</v>
      </c>
      <c r="F216" s="133" t="s">
        <v>23</v>
      </c>
      <c r="G216" s="139">
        <f>G217</f>
        <v>1340.748</v>
      </c>
      <c r="H216" s="139">
        <f>H217</f>
        <v>1340.748</v>
      </c>
      <c r="I216" s="118">
        <f t="shared" si="18"/>
        <v>100</v>
      </c>
    </row>
    <row r="217" spans="1:9" ht="25.5">
      <c r="A217" s="108" t="s">
        <v>207</v>
      </c>
      <c r="B217" s="132">
        <v>940</v>
      </c>
      <c r="C217" s="141" t="s">
        <v>55</v>
      </c>
      <c r="D217" s="141" t="s">
        <v>14</v>
      </c>
      <c r="E217" s="29" t="s">
        <v>333</v>
      </c>
      <c r="F217" s="133" t="s">
        <v>24</v>
      </c>
      <c r="G217" s="139">
        <f>(1342200-1452)/1000</f>
        <v>1340.748</v>
      </c>
      <c r="H217" s="138">
        <f>1340748/1000</f>
        <v>1340.748</v>
      </c>
      <c r="I217" s="118">
        <f t="shared" si="18"/>
        <v>100</v>
      </c>
    </row>
    <row r="218" spans="1:9">
      <c r="A218" s="108" t="s">
        <v>25</v>
      </c>
      <c r="B218" s="132">
        <v>940</v>
      </c>
      <c r="C218" s="141" t="s">
        <v>55</v>
      </c>
      <c r="D218" s="141" t="s">
        <v>14</v>
      </c>
      <c r="E218" s="29" t="s">
        <v>333</v>
      </c>
      <c r="F218" s="133" t="s">
        <v>26</v>
      </c>
      <c r="G218" s="139">
        <f>G219+G220</f>
        <v>5.36904</v>
      </c>
      <c r="H218" s="139">
        <f>H219+H220</f>
        <v>5.36904</v>
      </c>
      <c r="I218" s="118">
        <f t="shared" si="18"/>
        <v>100</v>
      </c>
    </row>
    <row r="219" spans="1:9" ht="25.5">
      <c r="A219" s="108" t="s">
        <v>27</v>
      </c>
      <c r="B219" s="132">
        <v>940</v>
      </c>
      <c r="C219" s="141" t="s">
        <v>55</v>
      </c>
      <c r="D219" s="141" t="s">
        <v>14</v>
      </c>
      <c r="E219" s="29" t="s">
        <v>333</v>
      </c>
      <c r="F219" s="141" t="s">
        <v>28</v>
      </c>
      <c r="G219" s="139">
        <f>(10000-8861)/1000</f>
        <v>1.139</v>
      </c>
      <c r="H219" s="138">
        <f>1139/1000</f>
        <v>1.139</v>
      </c>
      <c r="I219" s="118">
        <f t="shared" si="18"/>
        <v>100</v>
      </c>
    </row>
    <row r="220" spans="1:9">
      <c r="A220" s="108" t="s">
        <v>295</v>
      </c>
      <c r="B220" s="132">
        <v>940</v>
      </c>
      <c r="C220" s="141" t="s">
        <v>55</v>
      </c>
      <c r="D220" s="141" t="s">
        <v>14</v>
      </c>
      <c r="E220" s="29" t="s">
        <v>333</v>
      </c>
      <c r="F220" s="141" t="s">
        <v>29</v>
      </c>
      <c r="G220" s="139">
        <f>(4000+230.04)/1000</f>
        <v>4.2300399999999998</v>
      </c>
      <c r="H220" s="138">
        <f>4230.04/1000</f>
        <v>4.2300399999999998</v>
      </c>
      <c r="I220" s="118">
        <f t="shared" si="18"/>
        <v>100</v>
      </c>
    </row>
    <row r="221" spans="1:9" ht="25.5">
      <c r="A221" s="190" t="s">
        <v>82</v>
      </c>
      <c r="B221" s="121">
        <v>941</v>
      </c>
      <c r="C221" s="122"/>
      <c r="D221" s="122"/>
      <c r="E221" s="122"/>
      <c r="F221" s="122"/>
      <c r="G221" s="123">
        <f>G222</f>
        <v>3075.0570600000001</v>
      </c>
      <c r="H221" s="123">
        <f>H222</f>
        <v>3075.0570600000001</v>
      </c>
      <c r="I221" s="220">
        <f t="shared" si="18"/>
        <v>100</v>
      </c>
    </row>
    <row r="222" spans="1:9" ht="44.25" customHeight="1">
      <c r="A222" s="223" t="s">
        <v>83</v>
      </c>
      <c r="B222" s="224">
        <v>941</v>
      </c>
      <c r="C222" s="214" t="s">
        <v>12</v>
      </c>
      <c r="D222" s="214" t="s">
        <v>46</v>
      </c>
      <c r="E222" s="214"/>
      <c r="F222" s="214"/>
      <c r="G222" s="231">
        <f>G223</f>
        <v>3075.0570600000001</v>
      </c>
      <c r="H222" s="231">
        <f>H223</f>
        <v>3075.0570600000001</v>
      </c>
      <c r="I222" s="222">
        <f t="shared" si="18"/>
        <v>100</v>
      </c>
    </row>
    <row r="223" spans="1:9" ht="25.5">
      <c r="A223" s="109" t="s">
        <v>200</v>
      </c>
      <c r="B223" s="191">
        <v>941</v>
      </c>
      <c r="C223" s="192" t="s">
        <v>12</v>
      </c>
      <c r="D223" s="192" t="s">
        <v>46</v>
      </c>
      <c r="E223" s="192" t="s">
        <v>201</v>
      </c>
      <c r="F223" s="192"/>
      <c r="G223" s="193">
        <f>G224+G228</f>
        <v>3075.0570600000001</v>
      </c>
      <c r="H223" s="193">
        <f>H224+H228</f>
        <v>3075.0570600000001</v>
      </c>
      <c r="I223" s="118">
        <f t="shared" si="18"/>
        <v>100</v>
      </c>
    </row>
    <row r="224" spans="1:9" ht="25.5">
      <c r="A224" s="109" t="s">
        <v>84</v>
      </c>
      <c r="B224" s="132">
        <v>941</v>
      </c>
      <c r="C224" s="133" t="s">
        <v>12</v>
      </c>
      <c r="D224" s="133" t="s">
        <v>46</v>
      </c>
      <c r="E224" s="133" t="s">
        <v>334</v>
      </c>
      <c r="F224" s="133"/>
      <c r="G224" s="134">
        <f>G225</f>
        <v>1852.5154</v>
      </c>
      <c r="H224" s="134">
        <f>H225</f>
        <v>1852.5154</v>
      </c>
      <c r="I224" s="118">
        <f t="shared" si="18"/>
        <v>100</v>
      </c>
    </row>
    <row r="225" spans="1:9" ht="25.5">
      <c r="A225" s="109" t="s">
        <v>15</v>
      </c>
      <c r="B225" s="132">
        <v>941</v>
      </c>
      <c r="C225" s="133" t="s">
        <v>12</v>
      </c>
      <c r="D225" s="133" t="s">
        <v>46</v>
      </c>
      <c r="E225" s="133" t="s">
        <v>334</v>
      </c>
      <c r="F225" s="133" t="s">
        <v>16</v>
      </c>
      <c r="G225" s="134">
        <f>G226+G227</f>
        <v>1852.5154</v>
      </c>
      <c r="H225" s="134">
        <f>H226+H227</f>
        <v>1852.5154</v>
      </c>
      <c r="I225" s="118">
        <f t="shared" si="18"/>
        <v>100</v>
      </c>
    </row>
    <row r="226" spans="1:9" ht="25.5">
      <c r="A226" s="109" t="s">
        <v>203</v>
      </c>
      <c r="B226" s="132">
        <v>941</v>
      </c>
      <c r="C226" s="133" t="s">
        <v>12</v>
      </c>
      <c r="D226" s="133" t="s">
        <v>46</v>
      </c>
      <c r="E226" s="133" t="s">
        <v>334</v>
      </c>
      <c r="F226" s="133" t="s">
        <v>17</v>
      </c>
      <c r="G226" s="134">
        <f>(1544900-38581.36)/1000</f>
        <v>1506.31864</v>
      </c>
      <c r="H226" s="138">
        <f>1506318.64/1000</f>
        <v>1506.31864</v>
      </c>
      <c r="I226" s="118">
        <f t="shared" si="18"/>
        <v>100</v>
      </c>
    </row>
    <row r="227" spans="1:9" ht="51">
      <c r="A227" s="109" t="s">
        <v>205</v>
      </c>
      <c r="B227" s="136">
        <v>941</v>
      </c>
      <c r="C227" s="133" t="s">
        <v>12</v>
      </c>
      <c r="D227" s="133" t="s">
        <v>46</v>
      </c>
      <c r="E227" s="133" t="s">
        <v>334</v>
      </c>
      <c r="F227" s="133" t="s">
        <v>206</v>
      </c>
      <c r="G227" s="134">
        <f>(438300-91000-1103.24)/1000</f>
        <v>346.19675999999998</v>
      </c>
      <c r="H227" s="138">
        <f>346196.76/1000</f>
        <v>346.19675999999998</v>
      </c>
      <c r="I227" s="118">
        <f t="shared" si="18"/>
        <v>100</v>
      </c>
    </row>
    <row r="228" spans="1:9" ht="25.5">
      <c r="A228" s="109" t="s">
        <v>335</v>
      </c>
      <c r="B228" s="132">
        <v>941</v>
      </c>
      <c r="C228" s="133" t="s">
        <v>12</v>
      </c>
      <c r="D228" s="133" t="s">
        <v>46</v>
      </c>
      <c r="E228" s="133" t="s">
        <v>336</v>
      </c>
      <c r="F228" s="133"/>
      <c r="G228" s="134">
        <f>G229+G233+G235</f>
        <v>1222.5416600000001</v>
      </c>
      <c r="H228" s="134">
        <f>H229+H233+H235</f>
        <v>1222.5416600000001</v>
      </c>
      <c r="I228" s="118">
        <f t="shared" si="18"/>
        <v>100</v>
      </c>
    </row>
    <row r="229" spans="1:9" ht="25.5">
      <c r="A229" s="109" t="s">
        <v>15</v>
      </c>
      <c r="B229" s="132">
        <v>941</v>
      </c>
      <c r="C229" s="133" t="s">
        <v>12</v>
      </c>
      <c r="D229" s="133" t="s">
        <v>46</v>
      </c>
      <c r="E229" s="133" t="s">
        <v>336</v>
      </c>
      <c r="F229" s="133" t="s">
        <v>16</v>
      </c>
      <c r="G229" s="134">
        <f>G230+G232+G231</f>
        <v>886.87077999999997</v>
      </c>
      <c r="H229" s="134">
        <f>H230+H232+H231</f>
        <v>886.87077999999997</v>
      </c>
      <c r="I229" s="118">
        <f t="shared" si="18"/>
        <v>100</v>
      </c>
    </row>
    <row r="230" spans="1:9" ht="25.5">
      <c r="A230" s="109" t="s">
        <v>203</v>
      </c>
      <c r="B230" s="132">
        <v>941</v>
      </c>
      <c r="C230" s="133" t="s">
        <v>12</v>
      </c>
      <c r="D230" s="133" t="s">
        <v>46</v>
      </c>
      <c r="E230" s="133" t="s">
        <v>336</v>
      </c>
      <c r="F230" s="133" t="s">
        <v>17</v>
      </c>
      <c r="G230" s="134">
        <f>(1057289-40000-336404.36)/1000</f>
        <v>680.88463999999999</v>
      </c>
      <c r="H230" s="138">
        <f>680884.64/1000</f>
        <v>680.88463999999999</v>
      </c>
      <c r="I230" s="118">
        <f t="shared" si="18"/>
        <v>100</v>
      </c>
    </row>
    <row r="231" spans="1:9" ht="38.25">
      <c r="A231" s="109" t="s">
        <v>204</v>
      </c>
      <c r="B231" s="132">
        <v>941</v>
      </c>
      <c r="C231" s="133" t="s">
        <v>12</v>
      </c>
      <c r="D231" s="133" t="s">
        <v>46</v>
      </c>
      <c r="E231" s="133" t="s">
        <v>336</v>
      </c>
      <c r="F231" s="133" t="s">
        <v>18</v>
      </c>
      <c r="G231" s="134">
        <f>1567/1000</f>
        <v>1.5669999999999999</v>
      </c>
      <c r="H231" s="138">
        <f>1567/1000</f>
        <v>1.5669999999999999</v>
      </c>
      <c r="I231" s="118">
        <f t="shared" si="18"/>
        <v>100</v>
      </c>
    </row>
    <row r="232" spans="1:9" ht="51">
      <c r="A232" s="109" t="s">
        <v>205</v>
      </c>
      <c r="B232" s="132">
        <v>941</v>
      </c>
      <c r="C232" s="133" t="s">
        <v>12</v>
      </c>
      <c r="D232" s="133" t="s">
        <v>46</v>
      </c>
      <c r="E232" s="133" t="s">
        <v>336</v>
      </c>
      <c r="F232" s="133" t="s">
        <v>206</v>
      </c>
      <c r="G232" s="134">
        <f>(182111+40000-17691.86)/1000</f>
        <v>204.41914000000003</v>
      </c>
      <c r="H232" s="138">
        <f>204419.14/1000</f>
        <v>204.41914000000003</v>
      </c>
      <c r="I232" s="118">
        <f t="shared" si="18"/>
        <v>100</v>
      </c>
    </row>
    <row r="233" spans="1:9" ht="25.5">
      <c r="A233" s="108" t="s">
        <v>22</v>
      </c>
      <c r="B233" s="132">
        <v>941</v>
      </c>
      <c r="C233" s="133" t="s">
        <v>12</v>
      </c>
      <c r="D233" s="133" t="s">
        <v>46</v>
      </c>
      <c r="E233" s="133" t="s">
        <v>336</v>
      </c>
      <c r="F233" s="133" t="s">
        <v>23</v>
      </c>
      <c r="G233" s="134">
        <f>G234</f>
        <v>307.50130000000001</v>
      </c>
      <c r="H233" s="134">
        <f>H234</f>
        <v>307.50130000000001</v>
      </c>
      <c r="I233" s="118">
        <f t="shared" si="18"/>
        <v>100</v>
      </c>
    </row>
    <row r="234" spans="1:9" ht="25.5">
      <c r="A234" s="108" t="s">
        <v>207</v>
      </c>
      <c r="B234" s="132">
        <v>941</v>
      </c>
      <c r="C234" s="133" t="s">
        <v>12</v>
      </c>
      <c r="D234" s="133" t="s">
        <v>46</v>
      </c>
      <c r="E234" s="133" t="s">
        <v>336</v>
      </c>
      <c r="F234" s="133" t="s">
        <v>24</v>
      </c>
      <c r="G234" s="134">
        <f>(454933-140000-7431.7)/1000</f>
        <v>307.50130000000001</v>
      </c>
      <c r="H234" s="138">
        <f>307501.3/1000</f>
        <v>307.50130000000001</v>
      </c>
      <c r="I234" s="118">
        <f t="shared" si="18"/>
        <v>100</v>
      </c>
    </row>
    <row r="235" spans="1:9">
      <c r="A235" s="108" t="s">
        <v>25</v>
      </c>
      <c r="B235" s="132">
        <v>941</v>
      </c>
      <c r="C235" s="133" t="s">
        <v>12</v>
      </c>
      <c r="D235" s="133" t="s">
        <v>46</v>
      </c>
      <c r="E235" s="133" t="s">
        <v>336</v>
      </c>
      <c r="F235" s="133" t="s">
        <v>26</v>
      </c>
      <c r="G235" s="139">
        <f>G236+G237</f>
        <v>28.169580000000003</v>
      </c>
      <c r="H235" s="139">
        <f>H236+H237</f>
        <v>28.169580000000003</v>
      </c>
      <c r="I235" s="118">
        <f t="shared" si="18"/>
        <v>100</v>
      </c>
    </row>
    <row r="236" spans="1:9" ht="25.5">
      <c r="A236" s="108" t="s">
        <v>27</v>
      </c>
      <c r="B236" s="132">
        <v>941</v>
      </c>
      <c r="C236" s="133" t="s">
        <v>12</v>
      </c>
      <c r="D236" s="133" t="s">
        <v>46</v>
      </c>
      <c r="E236" s="133" t="s">
        <v>336</v>
      </c>
      <c r="F236" s="141" t="s">
        <v>28</v>
      </c>
      <c r="G236" s="139">
        <f>24000-24000</f>
        <v>0</v>
      </c>
      <c r="H236" s="138">
        <v>0</v>
      </c>
      <c r="I236" s="118" t="e">
        <f t="shared" si="18"/>
        <v>#DIV/0!</v>
      </c>
    </row>
    <row r="237" spans="1:9">
      <c r="A237" s="108" t="s">
        <v>295</v>
      </c>
      <c r="B237" s="132">
        <v>941</v>
      </c>
      <c r="C237" s="133" t="s">
        <v>12</v>
      </c>
      <c r="D237" s="133" t="s">
        <v>46</v>
      </c>
      <c r="E237" s="133" t="s">
        <v>336</v>
      </c>
      <c r="F237" s="141" t="s">
        <v>29</v>
      </c>
      <c r="G237" s="139">
        <f>(13000+15200-30.42)/1000</f>
        <v>28.169580000000003</v>
      </c>
      <c r="H237" s="194">
        <f>28169.58/1000</f>
        <v>28.169580000000003</v>
      </c>
      <c r="I237" s="118">
        <f t="shared" si="18"/>
        <v>100</v>
      </c>
    </row>
  </sheetData>
  <mergeCells count="6">
    <mergeCell ref="G8:I8"/>
    <mergeCell ref="A1:I1"/>
    <mergeCell ref="A2:I2"/>
    <mergeCell ref="A3:I3"/>
    <mergeCell ref="A4:I4"/>
    <mergeCell ref="A6:I6"/>
  </mergeCells>
  <pageMargins left="0.7" right="0.7" top="0.75" bottom="0.75" header="0.3" footer="0.3"/>
  <pageSetup paperSize="9" scale="72" orientation="portrait" r:id="rId1"/>
  <rowBreaks count="1" manualBreakCount="1">
    <brk id="2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37"/>
  <sheetViews>
    <sheetView view="pageBreakPreview" zoomScale="60" workbookViewId="0">
      <selection activeCell="A4" sqref="A4:H4"/>
    </sheetView>
  </sheetViews>
  <sheetFormatPr defaultRowHeight="15"/>
  <cols>
    <col min="1" max="1" width="46" customWidth="1"/>
    <col min="4" max="4" width="12.5703125" customWidth="1"/>
    <col min="5" max="5" width="7.5703125" customWidth="1"/>
    <col min="6" max="6" width="11.140625" customWidth="1"/>
    <col min="7" max="8" width="11.28515625" customWidth="1"/>
  </cols>
  <sheetData>
    <row r="1" spans="1:8">
      <c r="A1" s="302" t="s">
        <v>85</v>
      </c>
      <c r="B1" s="302"/>
      <c r="C1" s="302"/>
      <c r="D1" s="302"/>
      <c r="E1" s="302"/>
      <c r="F1" s="302"/>
      <c r="G1" s="302"/>
      <c r="H1" s="302"/>
    </row>
    <row r="2" spans="1:8">
      <c r="A2" s="302" t="s">
        <v>359</v>
      </c>
      <c r="B2" s="302"/>
      <c r="C2" s="302"/>
      <c r="D2" s="302"/>
      <c r="E2" s="302"/>
      <c r="F2" s="302"/>
      <c r="G2" s="302"/>
      <c r="H2" s="302"/>
    </row>
    <row r="3" spans="1:8">
      <c r="A3" s="302" t="s">
        <v>360</v>
      </c>
      <c r="B3" s="302"/>
      <c r="C3" s="302"/>
      <c r="D3" s="302"/>
      <c r="E3" s="302"/>
      <c r="F3" s="302"/>
      <c r="G3" s="302"/>
      <c r="H3" s="302"/>
    </row>
    <row r="4" spans="1:8">
      <c r="A4" s="303" t="s">
        <v>198</v>
      </c>
      <c r="B4" s="303"/>
      <c r="C4" s="303"/>
      <c r="D4" s="303"/>
      <c r="E4" s="303"/>
      <c r="F4" s="303"/>
      <c r="G4" s="303"/>
      <c r="H4" s="303"/>
    </row>
    <row r="5" spans="1:8" ht="15.75">
      <c r="A5" s="12"/>
      <c r="B5" s="15"/>
      <c r="C5" s="15"/>
      <c r="D5" s="10"/>
      <c r="E5" s="11"/>
      <c r="F5" s="11"/>
      <c r="G5" s="10"/>
      <c r="H5" s="10"/>
    </row>
    <row r="6" spans="1:8" ht="36" customHeight="1">
      <c r="A6" s="304" t="s">
        <v>337</v>
      </c>
      <c r="B6" s="304"/>
      <c r="C6" s="304"/>
      <c r="D6" s="304"/>
      <c r="E6" s="304"/>
      <c r="F6" s="304"/>
      <c r="G6" s="304"/>
      <c r="H6" s="304"/>
    </row>
    <row r="7" spans="1:8" ht="15.75">
      <c r="A7" s="13"/>
      <c r="B7" s="13"/>
      <c r="C7" s="13"/>
      <c r="D7" s="10"/>
      <c r="E7" s="10"/>
      <c r="F7" s="10"/>
      <c r="G7" s="10"/>
      <c r="H7" s="10"/>
    </row>
    <row r="8" spans="1:8" ht="15.75">
      <c r="A8" s="14"/>
      <c r="B8" s="10"/>
      <c r="C8" s="10"/>
      <c r="D8" s="10"/>
      <c r="E8" s="10"/>
      <c r="F8" s="301" t="s">
        <v>1</v>
      </c>
      <c r="G8" s="301"/>
      <c r="H8" s="301"/>
    </row>
    <row r="9" spans="1:8" ht="30" customHeight="1">
      <c r="A9" s="205"/>
      <c r="B9" s="205" t="s">
        <v>3</v>
      </c>
      <c r="C9" s="205" t="s">
        <v>4</v>
      </c>
      <c r="D9" s="205" t="s">
        <v>5</v>
      </c>
      <c r="E9" s="205" t="s">
        <v>6</v>
      </c>
      <c r="F9" s="198" t="s">
        <v>7</v>
      </c>
      <c r="G9" s="198" t="s">
        <v>8</v>
      </c>
      <c r="H9" s="280" t="s">
        <v>9</v>
      </c>
    </row>
    <row r="10" spans="1:8" ht="25.5">
      <c r="A10" s="190" t="s">
        <v>338</v>
      </c>
      <c r="B10" s="122"/>
      <c r="C10" s="122"/>
      <c r="D10" s="122"/>
      <c r="E10" s="122"/>
      <c r="F10" s="123">
        <f>F11+F74+F81+F88+F102+F152+F196+F202+F224</f>
        <v>157719.40164999999</v>
      </c>
      <c r="G10" s="199">
        <f>G11+G74+G81+G88+G102+G152+G196+G202+G224</f>
        <v>151774.30888</v>
      </c>
      <c r="H10" s="200">
        <f>G10/F10*100</f>
        <v>96.230588812914135</v>
      </c>
    </row>
    <row r="11" spans="1:8">
      <c r="A11" s="206" t="s">
        <v>11</v>
      </c>
      <c r="B11" s="207" t="s">
        <v>12</v>
      </c>
      <c r="C11" s="207"/>
      <c r="D11" s="207"/>
      <c r="E11" s="207"/>
      <c r="F11" s="202">
        <f>F12+F35+F50+F54+F19</f>
        <v>26377.951879999993</v>
      </c>
      <c r="G11" s="202">
        <f>G12+G35+G50+G54+G19</f>
        <v>23019.570519999994</v>
      </c>
      <c r="H11" s="203">
        <f t="shared" ref="H11:H74" si="0">G11/F11*100</f>
        <v>87.268225466184305</v>
      </c>
    </row>
    <row r="12" spans="1:8" ht="25.5">
      <c r="A12" s="128" t="s">
        <v>13</v>
      </c>
      <c r="B12" s="130" t="s">
        <v>12</v>
      </c>
      <c r="C12" s="130" t="s">
        <v>14</v>
      </c>
      <c r="D12" s="130"/>
      <c r="E12" s="130"/>
      <c r="F12" s="131">
        <f t="shared" ref="F12:G14" si="1">F13</f>
        <v>2030.4860299999998</v>
      </c>
      <c r="G12" s="131">
        <f t="shared" si="1"/>
        <v>2030.4860299999998</v>
      </c>
      <c r="H12" s="204">
        <f t="shared" si="0"/>
        <v>100</v>
      </c>
    </row>
    <row r="13" spans="1:8" ht="25.5">
      <c r="A13" s="109" t="s">
        <v>200</v>
      </c>
      <c r="B13" s="133" t="s">
        <v>12</v>
      </c>
      <c r="C13" s="133" t="s">
        <v>14</v>
      </c>
      <c r="D13" s="133" t="s">
        <v>201</v>
      </c>
      <c r="E13" s="133"/>
      <c r="F13" s="134">
        <f t="shared" si="1"/>
        <v>2030.4860299999998</v>
      </c>
      <c r="G13" s="134">
        <f t="shared" si="1"/>
        <v>2030.4860299999998</v>
      </c>
      <c r="H13" s="197">
        <f t="shared" si="0"/>
        <v>100</v>
      </c>
    </row>
    <row r="14" spans="1:8">
      <c r="A14" s="109" t="s">
        <v>21</v>
      </c>
      <c r="B14" s="133" t="s">
        <v>12</v>
      </c>
      <c r="C14" s="133" t="s">
        <v>14</v>
      </c>
      <c r="D14" s="133" t="s">
        <v>202</v>
      </c>
      <c r="E14" s="133"/>
      <c r="F14" s="134">
        <f t="shared" si="1"/>
        <v>2030.4860299999998</v>
      </c>
      <c r="G14" s="134">
        <f t="shared" si="1"/>
        <v>2030.4860299999998</v>
      </c>
      <c r="H14" s="197">
        <f t="shared" si="0"/>
        <v>100</v>
      </c>
    </row>
    <row r="15" spans="1:8" ht="25.5">
      <c r="A15" s="109" t="s">
        <v>15</v>
      </c>
      <c r="B15" s="133" t="s">
        <v>12</v>
      </c>
      <c r="C15" s="133" t="s">
        <v>14</v>
      </c>
      <c r="D15" s="133" t="s">
        <v>202</v>
      </c>
      <c r="E15" s="133" t="s">
        <v>16</v>
      </c>
      <c r="F15" s="134">
        <f>F16+F17+F18</f>
        <v>2030.4860299999998</v>
      </c>
      <c r="G15" s="134">
        <f>G16+G17+G18</f>
        <v>2030.4860299999998</v>
      </c>
      <c r="H15" s="197">
        <f t="shared" si="0"/>
        <v>100</v>
      </c>
    </row>
    <row r="16" spans="1:8" ht="25.5">
      <c r="A16" s="109" t="s">
        <v>203</v>
      </c>
      <c r="B16" s="133" t="s">
        <v>12</v>
      </c>
      <c r="C16" s="133" t="s">
        <v>14</v>
      </c>
      <c r="D16" s="133" t="s">
        <v>202</v>
      </c>
      <c r="E16" s="133" t="s">
        <v>17</v>
      </c>
      <c r="F16" s="134">
        <f>(1584497-19370.01)/1000</f>
        <v>1565.12699</v>
      </c>
      <c r="G16" s="135">
        <f>1565126.99/1000</f>
        <v>1565.12699</v>
      </c>
      <c r="H16" s="197">
        <f t="shared" si="0"/>
        <v>100</v>
      </c>
    </row>
    <row r="17" spans="1:8" ht="38.25">
      <c r="A17" s="109" t="s">
        <v>204</v>
      </c>
      <c r="B17" s="133" t="s">
        <v>12</v>
      </c>
      <c r="C17" s="133" t="s">
        <v>14</v>
      </c>
      <c r="D17" s="133" t="s">
        <v>202</v>
      </c>
      <c r="E17" s="133" t="s">
        <v>18</v>
      </c>
      <c r="F17" s="134">
        <f>92619/1000</f>
        <v>92.619</v>
      </c>
      <c r="G17" s="135">
        <f>92619/1000</f>
        <v>92.619</v>
      </c>
      <c r="H17" s="197">
        <f t="shared" si="0"/>
        <v>100</v>
      </c>
    </row>
    <row r="18" spans="1:8" ht="51">
      <c r="A18" s="109" t="s">
        <v>205</v>
      </c>
      <c r="B18" s="133" t="s">
        <v>12</v>
      </c>
      <c r="C18" s="133" t="s">
        <v>14</v>
      </c>
      <c r="D18" s="133" t="s">
        <v>202</v>
      </c>
      <c r="E18" s="133" t="s">
        <v>206</v>
      </c>
      <c r="F18" s="134">
        <f>(373003-262.96)/1000</f>
        <v>372.74003999999996</v>
      </c>
      <c r="G18" s="135">
        <f>372740.04/1000</f>
        <v>372.74003999999996</v>
      </c>
      <c r="H18" s="197">
        <f t="shared" si="0"/>
        <v>100</v>
      </c>
    </row>
    <row r="19" spans="1:8" ht="51">
      <c r="A19" s="208" t="s">
        <v>83</v>
      </c>
      <c r="B19" s="209" t="s">
        <v>12</v>
      </c>
      <c r="C19" s="209" t="s">
        <v>46</v>
      </c>
      <c r="D19" s="209"/>
      <c r="E19" s="209"/>
      <c r="F19" s="210">
        <f>F20</f>
        <v>3075.0570600000001</v>
      </c>
      <c r="G19" s="210">
        <f>G20</f>
        <v>3075.0570600000001</v>
      </c>
      <c r="H19" s="204">
        <f t="shared" si="0"/>
        <v>100</v>
      </c>
    </row>
    <row r="20" spans="1:8" ht="25.5">
      <c r="A20" s="109" t="s">
        <v>200</v>
      </c>
      <c r="B20" s="192" t="s">
        <v>12</v>
      </c>
      <c r="C20" s="192" t="s">
        <v>46</v>
      </c>
      <c r="D20" s="192" t="s">
        <v>201</v>
      </c>
      <c r="E20" s="192"/>
      <c r="F20" s="193">
        <f>F21+F25</f>
        <v>3075.0570600000001</v>
      </c>
      <c r="G20" s="193">
        <f>G21+G25</f>
        <v>3075.0570600000001</v>
      </c>
      <c r="H20" s="197">
        <f t="shared" si="0"/>
        <v>100</v>
      </c>
    </row>
    <row r="21" spans="1:8" ht="25.5">
      <c r="A21" s="109" t="s">
        <v>84</v>
      </c>
      <c r="B21" s="133" t="s">
        <v>12</v>
      </c>
      <c r="C21" s="133" t="s">
        <v>46</v>
      </c>
      <c r="D21" s="133" t="s">
        <v>334</v>
      </c>
      <c r="E21" s="133"/>
      <c r="F21" s="134">
        <f>F22</f>
        <v>1852.5154</v>
      </c>
      <c r="G21" s="134">
        <f>G22</f>
        <v>1852.5154</v>
      </c>
      <c r="H21" s="197">
        <f t="shared" si="0"/>
        <v>100</v>
      </c>
    </row>
    <row r="22" spans="1:8" ht="25.5">
      <c r="A22" s="109" t="s">
        <v>15</v>
      </c>
      <c r="B22" s="133" t="s">
        <v>12</v>
      </c>
      <c r="C22" s="133" t="s">
        <v>46</v>
      </c>
      <c r="D22" s="133" t="s">
        <v>334</v>
      </c>
      <c r="E22" s="133" t="s">
        <v>16</v>
      </c>
      <c r="F22" s="134">
        <f>F23+F24</f>
        <v>1852.5154</v>
      </c>
      <c r="G22" s="134">
        <f>G23+G24</f>
        <v>1852.5154</v>
      </c>
      <c r="H22" s="197">
        <f t="shared" si="0"/>
        <v>100</v>
      </c>
    </row>
    <row r="23" spans="1:8" ht="25.5">
      <c r="A23" s="109" t="s">
        <v>203</v>
      </c>
      <c r="B23" s="133" t="s">
        <v>12</v>
      </c>
      <c r="C23" s="133" t="s">
        <v>46</v>
      </c>
      <c r="D23" s="133" t="s">
        <v>334</v>
      </c>
      <c r="E23" s="133" t="s">
        <v>17</v>
      </c>
      <c r="F23" s="134">
        <f>1506318.64/1000</f>
        <v>1506.31864</v>
      </c>
      <c r="G23" s="138">
        <f>1506318.64/1000</f>
        <v>1506.31864</v>
      </c>
      <c r="H23" s="197">
        <f t="shared" si="0"/>
        <v>100</v>
      </c>
    </row>
    <row r="24" spans="1:8" ht="51">
      <c r="A24" s="109" t="s">
        <v>205</v>
      </c>
      <c r="B24" s="133" t="s">
        <v>12</v>
      </c>
      <c r="C24" s="133" t="s">
        <v>46</v>
      </c>
      <c r="D24" s="133" t="s">
        <v>334</v>
      </c>
      <c r="E24" s="133" t="s">
        <v>206</v>
      </c>
      <c r="F24" s="134">
        <f>(347300-1103.24)/1000</f>
        <v>346.19675999999998</v>
      </c>
      <c r="G24" s="138">
        <f>346196.76/1000</f>
        <v>346.19675999999998</v>
      </c>
      <c r="H24" s="197">
        <f t="shared" si="0"/>
        <v>100</v>
      </c>
    </row>
    <row r="25" spans="1:8" ht="25.5">
      <c r="A25" s="109" t="s">
        <v>335</v>
      </c>
      <c r="B25" s="133" t="s">
        <v>12</v>
      </c>
      <c r="C25" s="133" t="s">
        <v>46</v>
      </c>
      <c r="D25" s="133" t="s">
        <v>336</v>
      </c>
      <c r="E25" s="133"/>
      <c r="F25" s="134">
        <f>F26+F30+F32</f>
        <v>1222.5416600000001</v>
      </c>
      <c r="G25" s="134">
        <f>G26+G30+G32</f>
        <v>1222.5416600000001</v>
      </c>
      <c r="H25" s="197">
        <f t="shared" si="0"/>
        <v>100</v>
      </c>
    </row>
    <row r="26" spans="1:8" ht="25.5">
      <c r="A26" s="109" t="s">
        <v>15</v>
      </c>
      <c r="B26" s="133" t="s">
        <v>12</v>
      </c>
      <c r="C26" s="133" t="s">
        <v>46</v>
      </c>
      <c r="D26" s="133" t="s">
        <v>336</v>
      </c>
      <c r="E26" s="133" t="s">
        <v>16</v>
      </c>
      <c r="F26" s="134">
        <f>F27+F29+F28</f>
        <v>886.87077999999997</v>
      </c>
      <c r="G26" s="134">
        <f>G27+G29+G28</f>
        <v>886.87077999999997</v>
      </c>
      <c r="H26" s="197">
        <f t="shared" si="0"/>
        <v>100</v>
      </c>
    </row>
    <row r="27" spans="1:8" ht="25.5">
      <c r="A27" s="109" t="s">
        <v>203</v>
      </c>
      <c r="B27" s="133" t="s">
        <v>12</v>
      </c>
      <c r="C27" s="133" t="s">
        <v>46</v>
      </c>
      <c r="D27" s="133" t="s">
        <v>336</v>
      </c>
      <c r="E27" s="133" t="s">
        <v>17</v>
      </c>
      <c r="F27" s="134">
        <f>(1017289-336404.36)/1000</f>
        <v>680.88463999999999</v>
      </c>
      <c r="G27" s="138">
        <f>680884.64/1000</f>
        <v>680.88463999999999</v>
      </c>
      <c r="H27" s="197">
        <f t="shared" si="0"/>
        <v>100</v>
      </c>
    </row>
    <row r="28" spans="1:8" ht="38.25">
      <c r="A28" s="109" t="s">
        <v>204</v>
      </c>
      <c r="B28" s="133" t="s">
        <v>12</v>
      </c>
      <c r="C28" s="133" t="s">
        <v>46</v>
      </c>
      <c r="D28" s="133" t="s">
        <v>336</v>
      </c>
      <c r="E28" s="133" t="s">
        <v>18</v>
      </c>
      <c r="F28" s="134">
        <f>1567/1000</f>
        <v>1.5669999999999999</v>
      </c>
      <c r="G28" s="138">
        <f>1567/1000</f>
        <v>1.5669999999999999</v>
      </c>
      <c r="H28" s="197">
        <f t="shared" si="0"/>
        <v>100</v>
      </c>
    </row>
    <row r="29" spans="1:8" ht="51">
      <c r="A29" s="109" t="s">
        <v>205</v>
      </c>
      <c r="B29" s="133" t="s">
        <v>12</v>
      </c>
      <c r="C29" s="133" t="s">
        <v>46</v>
      </c>
      <c r="D29" s="133" t="s">
        <v>336</v>
      </c>
      <c r="E29" s="133" t="s">
        <v>206</v>
      </c>
      <c r="F29" s="134">
        <f>(222111-17691.86)/1000</f>
        <v>204.41914000000003</v>
      </c>
      <c r="G29" s="138">
        <f>204419.14/1000</f>
        <v>204.41914000000003</v>
      </c>
      <c r="H29" s="197">
        <f t="shared" si="0"/>
        <v>100</v>
      </c>
    </row>
    <row r="30" spans="1:8" ht="25.5">
      <c r="A30" s="108" t="s">
        <v>22</v>
      </c>
      <c r="B30" s="133" t="s">
        <v>12</v>
      </c>
      <c r="C30" s="133" t="s">
        <v>46</v>
      </c>
      <c r="D30" s="133" t="s">
        <v>336</v>
      </c>
      <c r="E30" s="133" t="s">
        <v>23</v>
      </c>
      <c r="F30" s="134">
        <f>F31</f>
        <v>307.50130000000001</v>
      </c>
      <c r="G30" s="134">
        <f>G31</f>
        <v>307.50130000000001</v>
      </c>
      <c r="H30" s="197">
        <f t="shared" si="0"/>
        <v>100</v>
      </c>
    </row>
    <row r="31" spans="1:8" ht="25.5">
      <c r="A31" s="108" t="s">
        <v>207</v>
      </c>
      <c r="B31" s="133" t="s">
        <v>12</v>
      </c>
      <c r="C31" s="133" t="s">
        <v>46</v>
      </c>
      <c r="D31" s="133" t="s">
        <v>336</v>
      </c>
      <c r="E31" s="133" t="s">
        <v>24</v>
      </c>
      <c r="F31" s="134">
        <f>(314933-7431.7)/1000</f>
        <v>307.50130000000001</v>
      </c>
      <c r="G31" s="138">
        <f>307501.3/1000</f>
        <v>307.50130000000001</v>
      </c>
      <c r="H31" s="197">
        <f t="shared" si="0"/>
        <v>100</v>
      </c>
    </row>
    <row r="32" spans="1:8">
      <c r="A32" s="108" t="s">
        <v>25</v>
      </c>
      <c r="B32" s="133" t="s">
        <v>12</v>
      </c>
      <c r="C32" s="133" t="s">
        <v>46</v>
      </c>
      <c r="D32" s="133" t="s">
        <v>336</v>
      </c>
      <c r="E32" s="133" t="s">
        <v>26</v>
      </c>
      <c r="F32" s="139">
        <f>F33+F34</f>
        <v>28.169580000000003</v>
      </c>
      <c r="G32" s="139">
        <f>G33+G34</f>
        <v>28.169580000000003</v>
      </c>
      <c r="H32" s="197">
        <f t="shared" si="0"/>
        <v>100</v>
      </c>
    </row>
    <row r="33" spans="1:8" ht="25.5">
      <c r="A33" s="108" t="s">
        <v>27</v>
      </c>
      <c r="B33" s="133" t="s">
        <v>12</v>
      </c>
      <c r="C33" s="133" t="s">
        <v>46</v>
      </c>
      <c r="D33" s="133" t="s">
        <v>336</v>
      </c>
      <c r="E33" s="141" t="s">
        <v>28</v>
      </c>
      <c r="F33" s="139">
        <v>0</v>
      </c>
      <c r="G33" s="139">
        <v>0</v>
      </c>
      <c r="H33" s="197" t="e">
        <f t="shared" si="0"/>
        <v>#DIV/0!</v>
      </c>
    </row>
    <row r="34" spans="1:8">
      <c r="A34" s="108" t="s">
        <v>295</v>
      </c>
      <c r="B34" s="133" t="s">
        <v>12</v>
      </c>
      <c r="C34" s="133" t="s">
        <v>46</v>
      </c>
      <c r="D34" s="133" t="s">
        <v>336</v>
      </c>
      <c r="E34" s="141" t="s">
        <v>29</v>
      </c>
      <c r="F34" s="139">
        <f>(28200-30.42)/1000</f>
        <v>28.169580000000003</v>
      </c>
      <c r="G34" s="194">
        <f>28169.58/1000</f>
        <v>28.169580000000003</v>
      </c>
      <c r="H34" s="197">
        <f t="shared" si="0"/>
        <v>100</v>
      </c>
    </row>
    <row r="35" spans="1:8" ht="38.25">
      <c r="A35" s="128" t="s">
        <v>19</v>
      </c>
      <c r="B35" s="130" t="s">
        <v>12</v>
      </c>
      <c r="C35" s="130" t="s">
        <v>20</v>
      </c>
      <c r="D35" s="130"/>
      <c r="E35" s="130"/>
      <c r="F35" s="131">
        <f>F36+F47</f>
        <v>16840.950729999997</v>
      </c>
      <c r="G35" s="131">
        <f>G36+G47</f>
        <v>16840.950729999997</v>
      </c>
      <c r="H35" s="204">
        <f t="shared" si="0"/>
        <v>100</v>
      </c>
    </row>
    <row r="36" spans="1:8" ht="25.5">
      <c r="A36" s="109" t="s">
        <v>200</v>
      </c>
      <c r="B36" s="133" t="s">
        <v>12</v>
      </c>
      <c r="C36" s="133" t="s">
        <v>20</v>
      </c>
      <c r="D36" s="133" t="s">
        <v>201</v>
      </c>
      <c r="E36" s="133"/>
      <c r="F36" s="134">
        <f>F37</f>
        <v>16737.638059999997</v>
      </c>
      <c r="G36" s="134">
        <f>G37</f>
        <v>16737.638059999997</v>
      </c>
      <c r="H36" s="197">
        <f t="shared" si="0"/>
        <v>100</v>
      </c>
    </row>
    <row r="37" spans="1:8">
      <c r="A37" s="109" t="s">
        <v>21</v>
      </c>
      <c r="B37" s="133" t="s">
        <v>12</v>
      </c>
      <c r="C37" s="133" t="s">
        <v>20</v>
      </c>
      <c r="D37" s="133" t="s">
        <v>202</v>
      </c>
      <c r="E37" s="133"/>
      <c r="F37" s="134">
        <f>F38+F42+F44</f>
        <v>16737.638059999997</v>
      </c>
      <c r="G37" s="134">
        <f>G38+G42+G44</f>
        <v>16737.638059999997</v>
      </c>
      <c r="H37" s="197">
        <f t="shared" si="0"/>
        <v>100</v>
      </c>
    </row>
    <row r="38" spans="1:8" ht="25.5">
      <c r="A38" s="109" t="s">
        <v>15</v>
      </c>
      <c r="B38" s="133" t="s">
        <v>12</v>
      </c>
      <c r="C38" s="133" t="s">
        <v>20</v>
      </c>
      <c r="D38" s="133" t="s">
        <v>202</v>
      </c>
      <c r="E38" s="133" t="s">
        <v>16</v>
      </c>
      <c r="F38" s="134">
        <f>F39+F40+F41</f>
        <v>11617.763029999998</v>
      </c>
      <c r="G38" s="134">
        <f>G39+G40+G41</f>
        <v>11617.763029999998</v>
      </c>
      <c r="H38" s="197">
        <f t="shared" si="0"/>
        <v>100</v>
      </c>
    </row>
    <row r="39" spans="1:8" ht="25.5">
      <c r="A39" s="109" t="s">
        <v>203</v>
      </c>
      <c r="B39" s="133" t="s">
        <v>12</v>
      </c>
      <c r="C39" s="133" t="s">
        <v>20</v>
      </c>
      <c r="D39" s="133" t="s">
        <v>202</v>
      </c>
      <c r="E39" s="133" t="s">
        <v>17</v>
      </c>
      <c r="F39" s="137">
        <f>(11017500-1750974.35)/1000</f>
        <v>9266.5256499999996</v>
      </c>
      <c r="G39" s="138">
        <f>9266525.65/1000</f>
        <v>9266.5256499999996</v>
      </c>
      <c r="H39" s="197">
        <f t="shared" si="0"/>
        <v>100</v>
      </c>
    </row>
    <row r="40" spans="1:8" ht="38.25">
      <c r="A40" s="109" t="s">
        <v>204</v>
      </c>
      <c r="B40" s="133" t="s">
        <v>12</v>
      </c>
      <c r="C40" s="133" t="s">
        <v>20</v>
      </c>
      <c r="D40" s="133" t="s">
        <v>202</v>
      </c>
      <c r="E40" s="133" t="s">
        <v>18</v>
      </c>
      <c r="F40" s="139">
        <f>410/1000</f>
        <v>0.41</v>
      </c>
      <c r="G40" s="138">
        <f>410/1000</f>
        <v>0.41</v>
      </c>
      <c r="H40" s="197">
        <f t="shared" si="0"/>
        <v>100</v>
      </c>
    </row>
    <row r="41" spans="1:8" ht="51">
      <c r="A41" s="109" t="s">
        <v>205</v>
      </c>
      <c r="B41" s="133" t="s">
        <v>12</v>
      </c>
      <c r="C41" s="133" t="s">
        <v>20</v>
      </c>
      <c r="D41" s="133" t="s">
        <v>202</v>
      </c>
      <c r="E41" s="133" t="s">
        <v>206</v>
      </c>
      <c r="F41" s="139">
        <f>(3327200-976372.62)/1000</f>
        <v>2350.8273799999997</v>
      </c>
      <c r="G41" s="138">
        <f>2350827.38/1000</f>
        <v>2350.8273799999997</v>
      </c>
      <c r="H41" s="197">
        <f t="shared" si="0"/>
        <v>100</v>
      </c>
    </row>
    <row r="42" spans="1:8" ht="25.5">
      <c r="A42" s="108" t="s">
        <v>22</v>
      </c>
      <c r="B42" s="133" t="s">
        <v>12</v>
      </c>
      <c r="C42" s="133" t="s">
        <v>20</v>
      </c>
      <c r="D42" s="133" t="s">
        <v>202</v>
      </c>
      <c r="E42" s="133" t="s">
        <v>23</v>
      </c>
      <c r="F42" s="139">
        <f>F43</f>
        <v>4925.5057400000005</v>
      </c>
      <c r="G42" s="139">
        <f>G43</f>
        <v>4925.5057400000005</v>
      </c>
      <c r="H42" s="197">
        <f t="shared" si="0"/>
        <v>100</v>
      </c>
    </row>
    <row r="43" spans="1:8" ht="25.5">
      <c r="A43" s="108" t="s">
        <v>207</v>
      </c>
      <c r="B43" s="133" t="s">
        <v>12</v>
      </c>
      <c r="C43" s="133" t="s">
        <v>20</v>
      </c>
      <c r="D43" s="133" t="s">
        <v>202</v>
      </c>
      <c r="E43" s="133" t="s">
        <v>24</v>
      </c>
      <c r="F43" s="139">
        <f>(5093250-167744.26)/1000</f>
        <v>4925.5057400000005</v>
      </c>
      <c r="G43" s="138">
        <f>4925505.74/1000</f>
        <v>4925.5057400000005</v>
      </c>
      <c r="H43" s="197">
        <f t="shared" si="0"/>
        <v>100</v>
      </c>
    </row>
    <row r="44" spans="1:8">
      <c r="A44" s="108" t="s">
        <v>25</v>
      </c>
      <c r="B44" s="133" t="s">
        <v>12</v>
      </c>
      <c r="C44" s="133" t="s">
        <v>20</v>
      </c>
      <c r="D44" s="133" t="s">
        <v>202</v>
      </c>
      <c r="E44" s="133" t="s">
        <v>26</v>
      </c>
      <c r="F44" s="139">
        <f>F45+F46</f>
        <v>194.36929000000001</v>
      </c>
      <c r="G44" s="139">
        <f>G45+G46</f>
        <v>194.36929000000001</v>
      </c>
      <c r="H44" s="197">
        <f t="shared" si="0"/>
        <v>100</v>
      </c>
    </row>
    <row r="45" spans="1:8" ht="25.5">
      <c r="A45" s="108" t="s">
        <v>27</v>
      </c>
      <c r="B45" s="133" t="s">
        <v>12</v>
      </c>
      <c r="C45" s="133" t="s">
        <v>20</v>
      </c>
      <c r="D45" s="133" t="s">
        <v>202</v>
      </c>
      <c r="E45" s="141" t="s">
        <v>28</v>
      </c>
      <c r="F45" s="139">
        <f>61037/1000</f>
        <v>61.036999999999999</v>
      </c>
      <c r="G45" s="138">
        <f>61037/1000</f>
        <v>61.036999999999999</v>
      </c>
      <c r="H45" s="197">
        <f t="shared" si="0"/>
        <v>100</v>
      </c>
    </row>
    <row r="46" spans="1:8">
      <c r="A46" s="108" t="s">
        <v>208</v>
      </c>
      <c r="B46" s="133" t="s">
        <v>12</v>
      </c>
      <c r="C46" s="133" t="s">
        <v>20</v>
      </c>
      <c r="D46" s="133" t="s">
        <v>202</v>
      </c>
      <c r="E46" s="141" t="s">
        <v>29</v>
      </c>
      <c r="F46" s="139">
        <f>(110000+23500-167.71)/1000</f>
        <v>133.33229</v>
      </c>
      <c r="G46" s="138">
        <f>133332.29/1000</f>
        <v>133.33229</v>
      </c>
      <c r="H46" s="197">
        <f t="shared" si="0"/>
        <v>100</v>
      </c>
    </row>
    <row r="47" spans="1:8">
      <c r="A47" s="108" t="s">
        <v>209</v>
      </c>
      <c r="B47" s="133" t="s">
        <v>12</v>
      </c>
      <c r="C47" s="133" t="s">
        <v>20</v>
      </c>
      <c r="D47" s="142" t="s">
        <v>210</v>
      </c>
      <c r="E47" s="133"/>
      <c r="F47" s="139">
        <f>F48</f>
        <v>103.31267</v>
      </c>
      <c r="G47" s="139">
        <f>G48</f>
        <v>103.31267</v>
      </c>
      <c r="H47" s="197">
        <f t="shared" si="0"/>
        <v>100</v>
      </c>
    </row>
    <row r="48" spans="1:8" ht="25.5">
      <c r="A48" s="108" t="s">
        <v>22</v>
      </c>
      <c r="B48" s="133" t="s">
        <v>12</v>
      </c>
      <c r="C48" s="133" t="s">
        <v>20</v>
      </c>
      <c r="D48" s="142" t="s">
        <v>211</v>
      </c>
      <c r="E48" s="133" t="s">
        <v>23</v>
      </c>
      <c r="F48" s="139">
        <f>F49</f>
        <v>103.31267</v>
      </c>
      <c r="G48" s="139">
        <f>G49</f>
        <v>103.31267</v>
      </c>
      <c r="H48" s="197">
        <f t="shared" si="0"/>
        <v>100</v>
      </c>
    </row>
    <row r="49" spans="1:8" ht="25.5">
      <c r="A49" s="108" t="s">
        <v>207</v>
      </c>
      <c r="B49" s="133" t="s">
        <v>12</v>
      </c>
      <c r="C49" s="133" t="s">
        <v>20</v>
      </c>
      <c r="D49" s="142" t="s">
        <v>211</v>
      </c>
      <c r="E49" s="133" t="s">
        <v>24</v>
      </c>
      <c r="F49" s="139">
        <f>103312.67/1000</f>
        <v>103.31267</v>
      </c>
      <c r="G49" s="138">
        <f>103312.67/1000</f>
        <v>103.31267</v>
      </c>
      <c r="H49" s="197">
        <f t="shared" si="0"/>
        <v>100</v>
      </c>
    </row>
    <row r="50" spans="1:8" ht="38.25">
      <c r="A50" s="208" t="s">
        <v>35</v>
      </c>
      <c r="B50" s="209" t="s">
        <v>12</v>
      </c>
      <c r="C50" s="209" t="s">
        <v>36</v>
      </c>
      <c r="D50" s="209"/>
      <c r="E50" s="209"/>
      <c r="F50" s="211">
        <f t="shared" ref="F50:G52" si="2">F51</f>
        <v>147.80000000000001</v>
      </c>
      <c r="G50" s="211">
        <f t="shared" si="2"/>
        <v>147.80000000000001</v>
      </c>
      <c r="H50" s="204">
        <f t="shared" si="0"/>
        <v>100</v>
      </c>
    </row>
    <row r="51" spans="1:8">
      <c r="A51" s="143" t="s">
        <v>37</v>
      </c>
      <c r="B51" s="112" t="s">
        <v>12</v>
      </c>
      <c r="C51" s="112" t="s">
        <v>36</v>
      </c>
      <c r="D51" s="142" t="s">
        <v>212</v>
      </c>
      <c r="E51" s="141"/>
      <c r="F51" s="139">
        <f t="shared" si="2"/>
        <v>147.80000000000001</v>
      </c>
      <c r="G51" s="139">
        <f t="shared" si="2"/>
        <v>147.80000000000001</v>
      </c>
      <c r="H51" s="197">
        <f t="shared" si="0"/>
        <v>100</v>
      </c>
    </row>
    <row r="52" spans="1:8" ht="89.25">
      <c r="A52" s="108" t="s">
        <v>213</v>
      </c>
      <c r="B52" s="112" t="s">
        <v>12</v>
      </c>
      <c r="C52" s="112" t="s">
        <v>36</v>
      </c>
      <c r="D52" s="142" t="s">
        <v>214</v>
      </c>
      <c r="E52" s="141"/>
      <c r="F52" s="139">
        <f t="shared" si="2"/>
        <v>147.80000000000001</v>
      </c>
      <c r="G52" s="139">
        <f t="shared" si="2"/>
        <v>147.80000000000001</v>
      </c>
      <c r="H52" s="197">
        <f t="shared" si="0"/>
        <v>100</v>
      </c>
    </row>
    <row r="53" spans="1:8">
      <c r="A53" s="108" t="s">
        <v>33</v>
      </c>
      <c r="B53" s="112" t="s">
        <v>12</v>
      </c>
      <c r="C53" s="112" t="s">
        <v>36</v>
      </c>
      <c r="D53" s="142" t="s">
        <v>214</v>
      </c>
      <c r="E53" s="133" t="s">
        <v>34</v>
      </c>
      <c r="F53" s="144">
        <f>147800/1000</f>
        <v>147.80000000000001</v>
      </c>
      <c r="G53" s="138">
        <f>147800/1000</f>
        <v>147.80000000000001</v>
      </c>
      <c r="H53" s="197">
        <f t="shared" si="0"/>
        <v>100</v>
      </c>
    </row>
    <row r="54" spans="1:8">
      <c r="A54" s="128" t="s">
        <v>39</v>
      </c>
      <c r="B54" s="130" t="s">
        <v>12</v>
      </c>
      <c r="C54" s="130" t="s">
        <v>40</v>
      </c>
      <c r="D54" s="130"/>
      <c r="E54" s="130"/>
      <c r="F54" s="145">
        <f>F55+F71</f>
        <v>4283.6580599999998</v>
      </c>
      <c r="G54" s="145">
        <f>G55+G71</f>
        <v>925.27670000000001</v>
      </c>
      <c r="H54" s="204">
        <f t="shared" si="0"/>
        <v>21.600153117730411</v>
      </c>
    </row>
    <row r="55" spans="1:8">
      <c r="A55" s="109" t="s">
        <v>215</v>
      </c>
      <c r="B55" s="133" t="s">
        <v>12</v>
      </c>
      <c r="C55" s="133" t="s">
        <v>40</v>
      </c>
      <c r="D55" s="133" t="s">
        <v>216</v>
      </c>
      <c r="E55" s="133"/>
      <c r="F55" s="137">
        <f>F58+F61+F64+F70+F67</f>
        <v>3784.1580599999998</v>
      </c>
      <c r="G55" s="137">
        <f>G58+G61+G64+G70+G67</f>
        <v>925.27670000000001</v>
      </c>
      <c r="H55" s="197">
        <f t="shared" si="0"/>
        <v>24.451322733596388</v>
      </c>
    </row>
    <row r="56" spans="1:8">
      <c r="A56" s="109" t="s">
        <v>217</v>
      </c>
      <c r="B56" s="133" t="s">
        <v>12</v>
      </c>
      <c r="C56" s="133" t="s">
        <v>40</v>
      </c>
      <c r="D56" s="133" t="s">
        <v>218</v>
      </c>
      <c r="E56" s="133"/>
      <c r="F56" s="137">
        <f>F57</f>
        <v>847.5</v>
      </c>
      <c r="G56" s="137">
        <f>G57</f>
        <v>350</v>
      </c>
      <c r="H56" s="197">
        <f t="shared" si="0"/>
        <v>41.297935103244839</v>
      </c>
    </row>
    <row r="57" spans="1:8">
      <c r="A57" s="109" t="s">
        <v>217</v>
      </c>
      <c r="B57" s="133" t="s">
        <v>12</v>
      </c>
      <c r="C57" s="133" t="s">
        <v>40</v>
      </c>
      <c r="D57" s="133" t="s">
        <v>218</v>
      </c>
      <c r="E57" s="133" t="s">
        <v>219</v>
      </c>
      <c r="F57" s="137">
        <f>F58</f>
        <v>847.5</v>
      </c>
      <c r="G57" s="137">
        <f>G58</f>
        <v>350</v>
      </c>
      <c r="H57" s="197">
        <f t="shared" si="0"/>
        <v>41.297935103244839</v>
      </c>
    </row>
    <row r="58" spans="1:8">
      <c r="A58" s="108" t="s">
        <v>31</v>
      </c>
      <c r="B58" s="133" t="s">
        <v>12</v>
      </c>
      <c r="C58" s="133" t="s">
        <v>40</v>
      </c>
      <c r="D58" s="133" t="s">
        <v>218</v>
      </c>
      <c r="E58" s="133" t="s">
        <v>32</v>
      </c>
      <c r="F58" s="137">
        <f>847500/1000</f>
        <v>847.5</v>
      </c>
      <c r="G58" s="138">
        <f>350000/1000</f>
        <v>350</v>
      </c>
      <c r="H58" s="197">
        <f t="shared" si="0"/>
        <v>41.297935103244839</v>
      </c>
    </row>
    <row r="59" spans="1:8" ht="25.5">
      <c r="A59" s="108" t="s">
        <v>220</v>
      </c>
      <c r="B59" s="133" t="s">
        <v>12</v>
      </c>
      <c r="C59" s="133" t="s">
        <v>40</v>
      </c>
      <c r="D59" s="133" t="s">
        <v>221</v>
      </c>
      <c r="E59" s="133"/>
      <c r="F59" s="137">
        <f>F60</f>
        <v>21.224700000000002</v>
      </c>
      <c r="G59" s="137">
        <f>G60</f>
        <v>21.224700000000002</v>
      </c>
      <c r="H59" s="197">
        <f t="shared" si="0"/>
        <v>100</v>
      </c>
    </row>
    <row r="60" spans="1:8">
      <c r="A60" s="108" t="s">
        <v>25</v>
      </c>
      <c r="B60" s="133" t="s">
        <v>12</v>
      </c>
      <c r="C60" s="133" t="s">
        <v>40</v>
      </c>
      <c r="D60" s="133" t="s">
        <v>221</v>
      </c>
      <c r="E60" s="133" t="s">
        <v>26</v>
      </c>
      <c r="F60" s="137">
        <f>F61</f>
        <v>21.224700000000002</v>
      </c>
      <c r="G60" s="137">
        <f>G61</f>
        <v>21.224700000000002</v>
      </c>
      <c r="H60" s="197">
        <f t="shared" si="0"/>
        <v>100</v>
      </c>
    </row>
    <row r="61" spans="1:8">
      <c r="A61" s="108" t="s">
        <v>42</v>
      </c>
      <c r="B61" s="133" t="s">
        <v>12</v>
      </c>
      <c r="C61" s="133" t="s">
        <v>40</v>
      </c>
      <c r="D61" s="133" t="s">
        <v>221</v>
      </c>
      <c r="E61" s="133" t="s">
        <v>43</v>
      </c>
      <c r="F61" s="146">
        <f>(20700+524.7)/1000</f>
        <v>21.224700000000002</v>
      </c>
      <c r="G61" s="138">
        <f>21224.7/1000</f>
        <v>21.224700000000002</v>
      </c>
      <c r="H61" s="197">
        <f t="shared" si="0"/>
        <v>100</v>
      </c>
    </row>
    <row r="62" spans="1:8" ht="38.25">
      <c r="A62" s="108" t="s">
        <v>41</v>
      </c>
      <c r="B62" s="133" t="s">
        <v>12</v>
      </c>
      <c r="C62" s="133" t="s">
        <v>40</v>
      </c>
      <c r="D62" s="133" t="s">
        <v>222</v>
      </c>
      <c r="E62" s="133"/>
      <c r="F62" s="146">
        <f>F63</f>
        <v>30</v>
      </c>
      <c r="G62" s="146">
        <f>G63</f>
        <v>30</v>
      </c>
      <c r="H62" s="197">
        <f t="shared" si="0"/>
        <v>100</v>
      </c>
    </row>
    <row r="63" spans="1:8" ht="25.5">
      <c r="A63" s="108" t="s">
        <v>22</v>
      </c>
      <c r="B63" s="133" t="s">
        <v>12</v>
      </c>
      <c r="C63" s="133" t="s">
        <v>40</v>
      </c>
      <c r="D63" s="133" t="s">
        <v>222</v>
      </c>
      <c r="E63" s="133" t="s">
        <v>23</v>
      </c>
      <c r="F63" s="146">
        <f>F64</f>
        <v>30</v>
      </c>
      <c r="G63" s="146">
        <f>G64</f>
        <v>30</v>
      </c>
      <c r="H63" s="197">
        <f t="shared" si="0"/>
        <v>100</v>
      </c>
    </row>
    <row r="64" spans="1:8" ht="25.5">
      <c r="A64" s="108" t="s">
        <v>207</v>
      </c>
      <c r="B64" s="133" t="s">
        <v>12</v>
      </c>
      <c r="C64" s="133" t="s">
        <v>40</v>
      </c>
      <c r="D64" s="133" t="s">
        <v>222</v>
      </c>
      <c r="E64" s="133" t="s">
        <v>24</v>
      </c>
      <c r="F64" s="146">
        <f>30000/1000</f>
        <v>30</v>
      </c>
      <c r="G64" s="138">
        <f>30000/1000</f>
        <v>30</v>
      </c>
      <c r="H64" s="197">
        <f t="shared" si="0"/>
        <v>100</v>
      </c>
    </row>
    <row r="65" spans="1:8" ht="25.5">
      <c r="A65" s="108" t="s">
        <v>223</v>
      </c>
      <c r="B65" s="133" t="s">
        <v>12</v>
      </c>
      <c r="C65" s="133" t="s">
        <v>40</v>
      </c>
      <c r="D65" s="133" t="s">
        <v>224</v>
      </c>
      <c r="E65" s="133"/>
      <c r="F65" s="137">
        <f>F66</f>
        <v>2648.7333599999997</v>
      </c>
      <c r="G65" s="137">
        <f>G66</f>
        <v>287.35199999999998</v>
      </c>
      <c r="H65" s="197">
        <f t="shared" si="0"/>
        <v>10.848657110582094</v>
      </c>
    </row>
    <row r="66" spans="1:8" ht="25.5">
      <c r="A66" s="108" t="s">
        <v>22</v>
      </c>
      <c r="B66" s="133" t="s">
        <v>12</v>
      </c>
      <c r="C66" s="133" t="s">
        <v>40</v>
      </c>
      <c r="D66" s="133" t="s">
        <v>224</v>
      </c>
      <c r="E66" s="133" t="s">
        <v>23</v>
      </c>
      <c r="F66" s="137">
        <f>F67</f>
        <v>2648.7333599999997</v>
      </c>
      <c r="G66" s="137">
        <f>G67</f>
        <v>287.35199999999998</v>
      </c>
      <c r="H66" s="197">
        <f t="shared" si="0"/>
        <v>10.848657110582094</v>
      </c>
    </row>
    <row r="67" spans="1:8" ht="25.5">
      <c r="A67" s="108" t="s">
        <v>207</v>
      </c>
      <c r="B67" s="133" t="s">
        <v>12</v>
      </c>
      <c r="C67" s="133" t="s">
        <v>40</v>
      </c>
      <c r="D67" s="133" t="s">
        <v>224</v>
      </c>
      <c r="E67" s="133" t="s">
        <v>24</v>
      </c>
      <c r="F67" s="137">
        <f>2648733.36/1000</f>
        <v>2648.7333599999997</v>
      </c>
      <c r="G67" s="138">
        <f>287352/1000</f>
        <v>287.35199999999998</v>
      </c>
      <c r="H67" s="197">
        <f t="shared" si="0"/>
        <v>10.848657110582094</v>
      </c>
    </row>
    <row r="68" spans="1:8">
      <c r="A68" s="108" t="s">
        <v>339</v>
      </c>
      <c r="B68" s="133" t="s">
        <v>12</v>
      </c>
      <c r="C68" s="133" t="s">
        <v>40</v>
      </c>
      <c r="D68" s="142" t="s">
        <v>226</v>
      </c>
      <c r="E68" s="133"/>
      <c r="F68" s="139">
        <f>F69</f>
        <v>236.7</v>
      </c>
      <c r="G68" s="139">
        <f>G69</f>
        <v>236.7</v>
      </c>
      <c r="H68" s="197">
        <f t="shared" si="0"/>
        <v>100</v>
      </c>
    </row>
    <row r="69" spans="1:8" ht="102">
      <c r="A69" s="108" t="s">
        <v>225</v>
      </c>
      <c r="B69" s="133" t="s">
        <v>12</v>
      </c>
      <c r="C69" s="133" t="s">
        <v>40</v>
      </c>
      <c r="D69" s="142" t="s">
        <v>226</v>
      </c>
      <c r="E69" s="133"/>
      <c r="F69" s="144">
        <f>F70</f>
        <v>236.7</v>
      </c>
      <c r="G69" s="144">
        <f>G70</f>
        <v>236.7</v>
      </c>
      <c r="H69" s="197">
        <f t="shared" si="0"/>
        <v>100</v>
      </c>
    </row>
    <row r="70" spans="1:8">
      <c r="A70" s="108" t="s">
        <v>33</v>
      </c>
      <c r="B70" s="133" t="s">
        <v>12</v>
      </c>
      <c r="C70" s="133" t="s">
        <v>40</v>
      </c>
      <c r="D70" s="142" t="s">
        <v>226</v>
      </c>
      <c r="E70" s="133" t="s">
        <v>34</v>
      </c>
      <c r="F70" s="144">
        <f>236700/1000</f>
        <v>236.7</v>
      </c>
      <c r="G70" s="138">
        <f>236700/1000</f>
        <v>236.7</v>
      </c>
      <c r="H70" s="197">
        <f t="shared" si="0"/>
        <v>100</v>
      </c>
    </row>
    <row r="71" spans="1:8" ht="63.75">
      <c r="A71" s="108" t="s">
        <v>227</v>
      </c>
      <c r="B71" s="133" t="s">
        <v>12</v>
      </c>
      <c r="C71" s="133" t="s">
        <v>40</v>
      </c>
      <c r="D71" s="142" t="s">
        <v>228</v>
      </c>
      <c r="E71" s="133"/>
      <c r="F71" s="144">
        <f>F72</f>
        <v>499.5</v>
      </c>
      <c r="G71" s="144">
        <f>G72</f>
        <v>0</v>
      </c>
      <c r="H71" s="197">
        <f t="shared" si="0"/>
        <v>0</v>
      </c>
    </row>
    <row r="72" spans="1:8">
      <c r="A72" s="143" t="s">
        <v>229</v>
      </c>
      <c r="B72" s="133" t="s">
        <v>12</v>
      </c>
      <c r="C72" s="133" t="s">
        <v>40</v>
      </c>
      <c r="D72" s="142" t="s">
        <v>228</v>
      </c>
      <c r="E72" s="133" t="s">
        <v>230</v>
      </c>
      <c r="F72" s="144">
        <f>F73</f>
        <v>499.5</v>
      </c>
      <c r="G72" s="144">
        <f>G73</f>
        <v>0</v>
      </c>
      <c r="H72" s="197">
        <f t="shared" si="0"/>
        <v>0</v>
      </c>
    </row>
    <row r="73" spans="1:8" ht="38.25">
      <c r="A73" s="108" t="s">
        <v>241</v>
      </c>
      <c r="B73" s="133" t="s">
        <v>12</v>
      </c>
      <c r="C73" s="133" t="s">
        <v>40</v>
      </c>
      <c r="D73" s="142" t="s">
        <v>228</v>
      </c>
      <c r="E73" s="133" t="s">
        <v>62</v>
      </c>
      <c r="F73" s="144">
        <f>(585000-85500)/1000</f>
        <v>499.5</v>
      </c>
      <c r="G73" s="138">
        <v>0</v>
      </c>
      <c r="H73" s="197">
        <f t="shared" si="0"/>
        <v>0</v>
      </c>
    </row>
    <row r="74" spans="1:8">
      <c r="A74" s="206" t="s">
        <v>44</v>
      </c>
      <c r="B74" s="207" t="s">
        <v>14</v>
      </c>
      <c r="C74" s="207"/>
      <c r="D74" s="207"/>
      <c r="E74" s="207"/>
      <c r="F74" s="212">
        <f t="shared" ref="F74:G77" si="3">F75</f>
        <v>522</v>
      </c>
      <c r="G74" s="212">
        <f t="shared" si="3"/>
        <v>522</v>
      </c>
      <c r="H74" s="203">
        <f t="shared" si="0"/>
        <v>100</v>
      </c>
    </row>
    <row r="75" spans="1:8">
      <c r="A75" s="109" t="s">
        <v>45</v>
      </c>
      <c r="B75" s="133" t="s">
        <v>14</v>
      </c>
      <c r="C75" s="133" t="s">
        <v>46</v>
      </c>
      <c r="D75" s="112"/>
      <c r="E75" s="133"/>
      <c r="F75" s="137">
        <f t="shared" si="3"/>
        <v>522</v>
      </c>
      <c r="G75" s="137">
        <f t="shared" si="3"/>
        <v>522</v>
      </c>
      <c r="H75" s="197">
        <f t="shared" ref="H75:H138" si="4">G75/F75*100</f>
        <v>100</v>
      </c>
    </row>
    <row r="76" spans="1:8">
      <c r="A76" s="109" t="s">
        <v>215</v>
      </c>
      <c r="B76" s="133" t="s">
        <v>14</v>
      </c>
      <c r="C76" s="133" t="s">
        <v>46</v>
      </c>
      <c r="D76" s="112" t="s">
        <v>216</v>
      </c>
      <c r="E76" s="133"/>
      <c r="F76" s="137">
        <f t="shared" si="3"/>
        <v>522</v>
      </c>
      <c r="G76" s="137">
        <f t="shared" si="3"/>
        <v>522</v>
      </c>
      <c r="H76" s="197">
        <f t="shared" si="4"/>
        <v>100</v>
      </c>
    </row>
    <row r="77" spans="1:8" ht="25.5">
      <c r="A77" s="109" t="s">
        <v>47</v>
      </c>
      <c r="B77" s="133" t="s">
        <v>14</v>
      </c>
      <c r="C77" s="133" t="s">
        <v>46</v>
      </c>
      <c r="D77" s="112" t="s">
        <v>231</v>
      </c>
      <c r="E77" s="133"/>
      <c r="F77" s="137">
        <f t="shared" si="3"/>
        <v>522</v>
      </c>
      <c r="G77" s="137">
        <f t="shared" si="3"/>
        <v>522</v>
      </c>
      <c r="H77" s="197">
        <f t="shared" si="4"/>
        <v>100</v>
      </c>
    </row>
    <row r="78" spans="1:8" ht="25.5">
      <c r="A78" s="109" t="s">
        <v>15</v>
      </c>
      <c r="B78" s="133" t="s">
        <v>14</v>
      </c>
      <c r="C78" s="133" t="s">
        <v>46</v>
      </c>
      <c r="D78" s="112" t="s">
        <v>231</v>
      </c>
      <c r="E78" s="133" t="s">
        <v>16</v>
      </c>
      <c r="F78" s="137">
        <f>F79+F80</f>
        <v>522</v>
      </c>
      <c r="G78" s="137">
        <f>G79+G80</f>
        <v>522</v>
      </c>
      <c r="H78" s="197">
        <f t="shared" si="4"/>
        <v>100</v>
      </c>
    </row>
    <row r="79" spans="1:8" ht="25.5">
      <c r="A79" s="109" t="s">
        <v>203</v>
      </c>
      <c r="B79" s="133" t="s">
        <v>14</v>
      </c>
      <c r="C79" s="133" t="s">
        <v>46</v>
      </c>
      <c r="D79" s="112" t="s">
        <v>231</v>
      </c>
      <c r="E79" s="133" t="s">
        <v>17</v>
      </c>
      <c r="F79" s="137">
        <f>401474.21/1000</f>
        <v>401.47421000000003</v>
      </c>
      <c r="G79" s="138">
        <f>401474.21/1000</f>
        <v>401.47421000000003</v>
      </c>
      <c r="H79" s="197">
        <f t="shared" si="4"/>
        <v>100</v>
      </c>
    </row>
    <row r="80" spans="1:8" ht="51">
      <c r="A80" s="109" t="s">
        <v>205</v>
      </c>
      <c r="B80" s="133" t="s">
        <v>14</v>
      </c>
      <c r="C80" s="133" t="s">
        <v>46</v>
      </c>
      <c r="D80" s="112" t="s">
        <v>231</v>
      </c>
      <c r="E80" s="133" t="s">
        <v>206</v>
      </c>
      <c r="F80" s="137">
        <f>120525.79/1000</f>
        <v>120.52579</v>
      </c>
      <c r="G80" s="138">
        <f>120525.79/1000</f>
        <v>120.52579</v>
      </c>
      <c r="H80" s="197">
        <f t="shared" si="4"/>
        <v>100</v>
      </c>
    </row>
    <row r="81" spans="1:8" ht="25.5">
      <c r="A81" s="206" t="s">
        <v>48</v>
      </c>
      <c r="B81" s="207" t="s">
        <v>46</v>
      </c>
      <c r="C81" s="207"/>
      <c r="D81" s="207"/>
      <c r="E81" s="207"/>
      <c r="F81" s="212">
        <f t="shared" ref="F81:G86" si="5">F82</f>
        <v>1469.91074</v>
      </c>
      <c r="G81" s="212">
        <f t="shared" si="5"/>
        <v>1279.1990800000001</v>
      </c>
      <c r="H81" s="203">
        <f t="shared" si="4"/>
        <v>87.025629869198724</v>
      </c>
    </row>
    <row r="82" spans="1:8" ht="38.25">
      <c r="A82" s="148" t="s">
        <v>232</v>
      </c>
      <c r="B82" s="130" t="s">
        <v>46</v>
      </c>
      <c r="C82" s="130" t="s">
        <v>51</v>
      </c>
      <c r="D82" s="130"/>
      <c r="E82" s="130"/>
      <c r="F82" s="145">
        <f t="shared" si="5"/>
        <v>1469.91074</v>
      </c>
      <c r="G82" s="145">
        <f t="shared" si="5"/>
        <v>1279.1990800000001</v>
      </c>
      <c r="H82" s="204">
        <f t="shared" si="4"/>
        <v>87.025629869198724</v>
      </c>
    </row>
    <row r="83" spans="1:8" ht="51">
      <c r="A83" s="89" t="s">
        <v>233</v>
      </c>
      <c r="B83" s="29" t="s">
        <v>46</v>
      </c>
      <c r="C83" s="29" t="s">
        <v>51</v>
      </c>
      <c r="D83" s="29" t="s">
        <v>234</v>
      </c>
      <c r="E83" s="29"/>
      <c r="F83" s="151">
        <f t="shared" si="5"/>
        <v>1469.91074</v>
      </c>
      <c r="G83" s="151">
        <f t="shared" si="5"/>
        <v>1279.1990800000001</v>
      </c>
      <c r="H83" s="197">
        <f t="shared" si="4"/>
        <v>87.025629869198724</v>
      </c>
    </row>
    <row r="84" spans="1:8" ht="38.25">
      <c r="A84" s="89" t="s">
        <v>235</v>
      </c>
      <c r="B84" s="29" t="s">
        <v>46</v>
      </c>
      <c r="C84" s="29" t="s">
        <v>51</v>
      </c>
      <c r="D84" s="29" t="s">
        <v>236</v>
      </c>
      <c r="E84" s="29"/>
      <c r="F84" s="151">
        <f t="shared" si="5"/>
        <v>1469.91074</v>
      </c>
      <c r="G84" s="151">
        <f t="shared" si="5"/>
        <v>1279.1990800000001</v>
      </c>
      <c r="H84" s="197">
        <f t="shared" si="4"/>
        <v>87.025629869198724</v>
      </c>
    </row>
    <row r="85" spans="1:8">
      <c r="A85" s="89" t="s">
        <v>237</v>
      </c>
      <c r="B85" s="29" t="s">
        <v>46</v>
      </c>
      <c r="C85" s="29" t="s">
        <v>51</v>
      </c>
      <c r="D85" s="29" t="s">
        <v>238</v>
      </c>
      <c r="E85" s="29"/>
      <c r="F85" s="151">
        <f t="shared" si="5"/>
        <v>1469.91074</v>
      </c>
      <c r="G85" s="151">
        <f t="shared" si="5"/>
        <v>1279.1990800000001</v>
      </c>
      <c r="H85" s="197">
        <f t="shared" si="4"/>
        <v>87.025629869198724</v>
      </c>
    </row>
    <row r="86" spans="1:8" ht="25.5">
      <c r="A86" s="108" t="s">
        <v>22</v>
      </c>
      <c r="B86" s="29" t="s">
        <v>46</v>
      </c>
      <c r="C86" s="29" t="s">
        <v>51</v>
      </c>
      <c r="D86" s="29" t="s">
        <v>238</v>
      </c>
      <c r="E86" s="29" t="s">
        <v>23</v>
      </c>
      <c r="F86" s="151">
        <f t="shared" si="5"/>
        <v>1469.91074</v>
      </c>
      <c r="G86" s="151">
        <f t="shared" si="5"/>
        <v>1279.1990800000001</v>
      </c>
      <c r="H86" s="197">
        <f t="shared" si="4"/>
        <v>87.025629869198724</v>
      </c>
    </row>
    <row r="87" spans="1:8" ht="25.5">
      <c r="A87" s="108" t="s">
        <v>207</v>
      </c>
      <c r="B87" s="29" t="s">
        <v>46</v>
      </c>
      <c r="C87" s="29" t="s">
        <v>51</v>
      </c>
      <c r="D87" s="29" t="s">
        <v>238</v>
      </c>
      <c r="E87" s="133" t="s">
        <v>24</v>
      </c>
      <c r="F87" s="152">
        <f>1469910.74/1000</f>
        <v>1469.91074</v>
      </c>
      <c r="G87" s="138">
        <f>1279199.08/1000</f>
        <v>1279.1990800000001</v>
      </c>
      <c r="H87" s="197">
        <f t="shared" si="4"/>
        <v>87.025629869198724</v>
      </c>
    </row>
    <row r="88" spans="1:8">
      <c r="A88" s="153" t="s">
        <v>52</v>
      </c>
      <c r="B88" s="126" t="s">
        <v>20</v>
      </c>
      <c r="C88" s="126"/>
      <c r="D88" s="126"/>
      <c r="E88" s="126"/>
      <c r="F88" s="147">
        <f>F89+F94</f>
        <v>1219.3508000000002</v>
      </c>
      <c r="G88" s="147">
        <f>G89+G94</f>
        <v>1167.3508000000002</v>
      </c>
      <c r="H88" s="203">
        <f t="shared" si="4"/>
        <v>95.735435610490441</v>
      </c>
    </row>
    <row r="89" spans="1:8">
      <c r="A89" s="155" t="s">
        <v>53</v>
      </c>
      <c r="B89" s="157" t="s">
        <v>20</v>
      </c>
      <c r="C89" s="157" t="s">
        <v>50</v>
      </c>
      <c r="D89" s="157"/>
      <c r="E89" s="158"/>
      <c r="F89" s="159">
        <f t="shared" ref="F89:G92" si="6">F90</f>
        <v>978.35080000000005</v>
      </c>
      <c r="G89" s="159">
        <f t="shared" si="6"/>
        <v>978.35080000000005</v>
      </c>
      <c r="H89" s="204">
        <f t="shared" si="4"/>
        <v>100</v>
      </c>
    </row>
    <row r="90" spans="1:8">
      <c r="A90" s="160" t="s">
        <v>215</v>
      </c>
      <c r="B90" s="112" t="s">
        <v>20</v>
      </c>
      <c r="C90" s="112" t="s">
        <v>50</v>
      </c>
      <c r="D90" s="112" t="s">
        <v>216</v>
      </c>
      <c r="E90" s="142"/>
      <c r="F90" s="161">
        <f t="shared" si="6"/>
        <v>978.35080000000005</v>
      </c>
      <c r="G90" s="161">
        <f t="shared" si="6"/>
        <v>978.35080000000005</v>
      </c>
      <c r="H90" s="197">
        <f t="shared" si="4"/>
        <v>100</v>
      </c>
    </row>
    <row r="91" spans="1:8" ht="25.5">
      <c r="A91" s="108" t="s">
        <v>30</v>
      </c>
      <c r="B91" s="29" t="s">
        <v>20</v>
      </c>
      <c r="C91" s="29" t="s">
        <v>50</v>
      </c>
      <c r="D91" s="133" t="s">
        <v>239</v>
      </c>
      <c r="E91" s="163"/>
      <c r="F91" s="151">
        <f t="shared" si="6"/>
        <v>978.35080000000005</v>
      </c>
      <c r="G91" s="151">
        <f t="shared" si="6"/>
        <v>978.35080000000005</v>
      </c>
      <c r="H91" s="197">
        <f t="shared" si="4"/>
        <v>100</v>
      </c>
    </row>
    <row r="92" spans="1:8" ht="25.5">
      <c r="A92" s="108" t="s">
        <v>22</v>
      </c>
      <c r="B92" s="29" t="s">
        <v>20</v>
      </c>
      <c r="C92" s="29" t="s">
        <v>50</v>
      </c>
      <c r="D92" s="133" t="s">
        <v>239</v>
      </c>
      <c r="E92" s="163" t="s">
        <v>23</v>
      </c>
      <c r="F92" s="151">
        <f t="shared" si="6"/>
        <v>978.35080000000005</v>
      </c>
      <c r="G92" s="151">
        <f t="shared" si="6"/>
        <v>978.35080000000005</v>
      </c>
      <c r="H92" s="197">
        <f t="shared" si="4"/>
        <v>100</v>
      </c>
    </row>
    <row r="93" spans="1:8" ht="25.5">
      <c r="A93" s="108" t="s">
        <v>207</v>
      </c>
      <c r="B93" s="29" t="s">
        <v>20</v>
      </c>
      <c r="C93" s="29" t="s">
        <v>50</v>
      </c>
      <c r="D93" s="133" t="s">
        <v>239</v>
      </c>
      <c r="E93" s="163" t="s">
        <v>24</v>
      </c>
      <c r="F93" s="152">
        <f>(1301000-270000-52649.2)/1000</f>
        <v>978.35080000000005</v>
      </c>
      <c r="G93" s="138">
        <f>978350.8/1000</f>
        <v>978.35080000000005</v>
      </c>
      <c r="H93" s="197">
        <f t="shared" si="4"/>
        <v>100</v>
      </c>
    </row>
    <row r="94" spans="1:8">
      <c r="A94" s="148" t="s">
        <v>54</v>
      </c>
      <c r="B94" s="130" t="s">
        <v>20</v>
      </c>
      <c r="C94" s="130" t="s">
        <v>55</v>
      </c>
      <c r="D94" s="130"/>
      <c r="E94" s="130"/>
      <c r="F94" s="145">
        <f>F95+F99</f>
        <v>241</v>
      </c>
      <c r="G94" s="145">
        <f>G95+G99</f>
        <v>189</v>
      </c>
      <c r="H94" s="204">
        <f t="shared" si="4"/>
        <v>78.423236514522827</v>
      </c>
    </row>
    <row r="95" spans="1:8">
      <c r="A95" s="164" t="s">
        <v>215</v>
      </c>
      <c r="B95" s="112" t="s">
        <v>20</v>
      </c>
      <c r="C95" s="112" t="s">
        <v>55</v>
      </c>
      <c r="D95" s="112" t="s">
        <v>216</v>
      </c>
      <c r="E95" s="112"/>
      <c r="F95" s="161">
        <f t="shared" ref="F95:G97" si="7">F96</f>
        <v>76</v>
      </c>
      <c r="G95" s="161">
        <f t="shared" si="7"/>
        <v>24</v>
      </c>
      <c r="H95" s="197">
        <f t="shared" si="4"/>
        <v>31.578947368421051</v>
      </c>
    </row>
    <row r="96" spans="1:8" ht="25.5">
      <c r="A96" s="117" t="s">
        <v>56</v>
      </c>
      <c r="B96" s="29" t="s">
        <v>20</v>
      </c>
      <c r="C96" s="29" t="s">
        <v>55</v>
      </c>
      <c r="D96" s="29" t="s">
        <v>240</v>
      </c>
      <c r="E96" s="29"/>
      <c r="F96" s="151">
        <f t="shared" si="7"/>
        <v>76</v>
      </c>
      <c r="G96" s="151">
        <f t="shared" si="7"/>
        <v>24</v>
      </c>
      <c r="H96" s="197">
        <f t="shared" si="4"/>
        <v>31.578947368421051</v>
      </c>
    </row>
    <row r="97" spans="1:8" ht="25.5">
      <c r="A97" s="108" t="s">
        <v>22</v>
      </c>
      <c r="B97" s="29" t="s">
        <v>20</v>
      </c>
      <c r="C97" s="29" t="s">
        <v>55</v>
      </c>
      <c r="D97" s="29" t="s">
        <v>240</v>
      </c>
      <c r="E97" s="29" t="s">
        <v>23</v>
      </c>
      <c r="F97" s="151">
        <f t="shared" si="7"/>
        <v>76</v>
      </c>
      <c r="G97" s="151">
        <f t="shared" si="7"/>
        <v>24</v>
      </c>
      <c r="H97" s="197">
        <f t="shared" si="4"/>
        <v>31.578947368421051</v>
      </c>
    </row>
    <row r="98" spans="1:8" ht="25.5">
      <c r="A98" s="108" t="s">
        <v>207</v>
      </c>
      <c r="B98" s="29" t="s">
        <v>20</v>
      </c>
      <c r="C98" s="29" t="s">
        <v>55</v>
      </c>
      <c r="D98" s="29" t="s">
        <v>240</v>
      </c>
      <c r="E98" s="163" t="s">
        <v>24</v>
      </c>
      <c r="F98" s="152">
        <f>76000/1000</f>
        <v>76</v>
      </c>
      <c r="G98" s="138">
        <f>24000/1000</f>
        <v>24</v>
      </c>
      <c r="H98" s="197">
        <f t="shared" si="4"/>
        <v>31.578947368421051</v>
      </c>
    </row>
    <row r="99" spans="1:8" ht="63.75">
      <c r="A99" s="108" t="s">
        <v>227</v>
      </c>
      <c r="B99" s="29" t="s">
        <v>20</v>
      </c>
      <c r="C99" s="29" t="s">
        <v>55</v>
      </c>
      <c r="D99" s="142" t="s">
        <v>228</v>
      </c>
      <c r="E99" s="133"/>
      <c r="F99" s="151">
        <f>F100</f>
        <v>165</v>
      </c>
      <c r="G99" s="151">
        <f>G100</f>
        <v>165</v>
      </c>
      <c r="H99" s="197">
        <f t="shared" si="4"/>
        <v>100</v>
      </c>
    </row>
    <row r="100" spans="1:8">
      <c r="A100" s="143" t="s">
        <v>229</v>
      </c>
      <c r="B100" s="29" t="s">
        <v>20</v>
      </c>
      <c r="C100" s="29" t="s">
        <v>55</v>
      </c>
      <c r="D100" s="142" t="s">
        <v>228</v>
      </c>
      <c r="E100" s="133" t="s">
        <v>230</v>
      </c>
      <c r="F100" s="151">
        <f>F101</f>
        <v>165</v>
      </c>
      <c r="G100" s="151">
        <f>G101</f>
        <v>165</v>
      </c>
      <c r="H100" s="197">
        <f t="shared" si="4"/>
        <v>100</v>
      </c>
    </row>
    <row r="101" spans="1:8" ht="38.25">
      <c r="A101" s="108" t="s">
        <v>241</v>
      </c>
      <c r="B101" s="29" t="s">
        <v>20</v>
      </c>
      <c r="C101" s="29" t="s">
        <v>55</v>
      </c>
      <c r="D101" s="142" t="s">
        <v>228</v>
      </c>
      <c r="E101" s="133" t="s">
        <v>62</v>
      </c>
      <c r="F101" s="151">
        <f>165000/1000</f>
        <v>165</v>
      </c>
      <c r="G101" s="138">
        <f>165000/1000</f>
        <v>165</v>
      </c>
      <c r="H101" s="197">
        <f t="shared" si="4"/>
        <v>100</v>
      </c>
    </row>
    <row r="102" spans="1:8">
      <c r="A102" s="124" t="s">
        <v>57</v>
      </c>
      <c r="B102" s="126" t="s">
        <v>58</v>
      </c>
      <c r="C102" s="126"/>
      <c r="D102" s="126"/>
      <c r="E102" s="126"/>
      <c r="F102" s="127">
        <f>F103+F117</f>
        <v>53570.017180000003</v>
      </c>
      <c r="G102" s="127">
        <f>G103+G117</f>
        <v>53534.817180000005</v>
      </c>
      <c r="H102" s="203">
        <f t="shared" si="4"/>
        <v>99.934291602181645</v>
      </c>
    </row>
    <row r="103" spans="1:8">
      <c r="A103" s="128" t="s">
        <v>59</v>
      </c>
      <c r="B103" s="130" t="s">
        <v>58</v>
      </c>
      <c r="C103" s="130" t="s">
        <v>14</v>
      </c>
      <c r="D103" s="130"/>
      <c r="E103" s="130"/>
      <c r="F103" s="131">
        <f>F104+F109</f>
        <v>3169.4028699999999</v>
      </c>
      <c r="G103" s="131">
        <f>G104+G109</f>
        <v>3169.4028699999999</v>
      </c>
      <c r="H103" s="204">
        <f t="shared" si="4"/>
        <v>100</v>
      </c>
    </row>
    <row r="104" spans="1:8" ht="51">
      <c r="A104" s="110" t="s">
        <v>242</v>
      </c>
      <c r="B104" s="112" t="s">
        <v>58</v>
      </c>
      <c r="C104" s="112" t="s">
        <v>14</v>
      </c>
      <c r="D104" s="112" t="s">
        <v>243</v>
      </c>
      <c r="E104" s="112"/>
      <c r="F104" s="166">
        <f t="shared" ref="F104:G107" si="8">F105</f>
        <v>43.119199999999999</v>
      </c>
      <c r="G104" s="166">
        <f t="shared" si="8"/>
        <v>43.119199999999999</v>
      </c>
      <c r="H104" s="197">
        <f t="shared" si="4"/>
        <v>100</v>
      </c>
    </row>
    <row r="105" spans="1:8" ht="38.25">
      <c r="A105" s="110" t="s">
        <v>235</v>
      </c>
      <c r="B105" s="112" t="s">
        <v>58</v>
      </c>
      <c r="C105" s="112" t="s">
        <v>14</v>
      </c>
      <c r="D105" s="112" t="s">
        <v>244</v>
      </c>
      <c r="E105" s="112"/>
      <c r="F105" s="166">
        <f t="shared" si="8"/>
        <v>43.119199999999999</v>
      </c>
      <c r="G105" s="166">
        <f t="shared" si="8"/>
        <v>43.119199999999999</v>
      </c>
      <c r="H105" s="197">
        <f t="shared" si="4"/>
        <v>100</v>
      </c>
    </row>
    <row r="106" spans="1:8">
      <c r="A106" s="110" t="s">
        <v>245</v>
      </c>
      <c r="B106" s="112" t="s">
        <v>58</v>
      </c>
      <c r="C106" s="112" t="s">
        <v>14</v>
      </c>
      <c r="D106" s="112" t="s">
        <v>246</v>
      </c>
      <c r="E106" s="112"/>
      <c r="F106" s="166">
        <f t="shared" si="8"/>
        <v>43.119199999999999</v>
      </c>
      <c r="G106" s="166">
        <f t="shared" si="8"/>
        <v>43.119199999999999</v>
      </c>
      <c r="H106" s="197">
        <f t="shared" si="4"/>
        <v>100</v>
      </c>
    </row>
    <row r="107" spans="1:8">
      <c r="A107" s="143" t="s">
        <v>229</v>
      </c>
      <c r="B107" s="112" t="s">
        <v>58</v>
      </c>
      <c r="C107" s="112" t="s">
        <v>14</v>
      </c>
      <c r="D107" s="112" t="s">
        <v>246</v>
      </c>
      <c r="E107" s="112" t="s">
        <v>230</v>
      </c>
      <c r="F107" s="166">
        <f t="shared" si="8"/>
        <v>43.119199999999999</v>
      </c>
      <c r="G107" s="166">
        <f t="shared" si="8"/>
        <v>43.119199999999999</v>
      </c>
      <c r="H107" s="197">
        <f t="shared" si="4"/>
        <v>100</v>
      </c>
    </row>
    <row r="108" spans="1:8" ht="38.25">
      <c r="A108" s="108" t="s">
        <v>241</v>
      </c>
      <c r="B108" s="112" t="s">
        <v>58</v>
      </c>
      <c r="C108" s="112" t="s">
        <v>14</v>
      </c>
      <c r="D108" s="112" t="s">
        <v>246</v>
      </c>
      <c r="E108" s="112" t="s">
        <v>62</v>
      </c>
      <c r="F108" s="166">
        <f>43119.2/1000</f>
        <v>43.119199999999999</v>
      </c>
      <c r="G108" s="138">
        <f>43119.2/1000</f>
        <v>43.119199999999999</v>
      </c>
      <c r="H108" s="197">
        <f t="shared" si="4"/>
        <v>100</v>
      </c>
    </row>
    <row r="109" spans="1:8" ht="63.75">
      <c r="A109" s="108" t="s">
        <v>247</v>
      </c>
      <c r="B109" s="112" t="s">
        <v>58</v>
      </c>
      <c r="C109" s="112" t="s">
        <v>14</v>
      </c>
      <c r="D109" s="112" t="s">
        <v>248</v>
      </c>
      <c r="E109" s="112"/>
      <c r="F109" s="166">
        <f>F110</f>
        <v>3126.2836699999998</v>
      </c>
      <c r="G109" s="166">
        <f>G110</f>
        <v>3126.2836699999998</v>
      </c>
      <c r="H109" s="197">
        <f t="shared" si="4"/>
        <v>100</v>
      </c>
    </row>
    <row r="110" spans="1:8" ht="38.25">
      <c r="A110" s="108" t="s">
        <v>235</v>
      </c>
      <c r="B110" s="112" t="s">
        <v>58</v>
      </c>
      <c r="C110" s="112" t="s">
        <v>14</v>
      </c>
      <c r="D110" s="112" t="s">
        <v>249</v>
      </c>
      <c r="E110" s="112"/>
      <c r="F110" s="166">
        <f>F111+F114</f>
        <v>3126.2836699999998</v>
      </c>
      <c r="G110" s="166">
        <f>G111+G114</f>
        <v>3126.2836699999998</v>
      </c>
      <c r="H110" s="197">
        <f t="shared" si="4"/>
        <v>100</v>
      </c>
    </row>
    <row r="111" spans="1:8" ht="38.25">
      <c r="A111" s="110" t="s">
        <v>60</v>
      </c>
      <c r="B111" s="112" t="s">
        <v>58</v>
      </c>
      <c r="C111" s="112" t="s">
        <v>14</v>
      </c>
      <c r="D111" s="112" t="s">
        <v>250</v>
      </c>
      <c r="E111" s="112"/>
      <c r="F111" s="166">
        <f>F112</f>
        <v>1844.50737</v>
      </c>
      <c r="G111" s="166">
        <f>G112</f>
        <v>1844.50737</v>
      </c>
      <c r="H111" s="197">
        <f t="shared" si="4"/>
        <v>100</v>
      </c>
    </row>
    <row r="112" spans="1:8" ht="25.5">
      <c r="A112" s="108" t="s">
        <v>22</v>
      </c>
      <c r="B112" s="112" t="s">
        <v>58</v>
      </c>
      <c r="C112" s="112" t="s">
        <v>14</v>
      </c>
      <c r="D112" s="112" t="s">
        <v>250</v>
      </c>
      <c r="E112" s="112" t="s">
        <v>23</v>
      </c>
      <c r="F112" s="166">
        <f>F113</f>
        <v>1844.50737</v>
      </c>
      <c r="G112" s="166">
        <f>G113</f>
        <v>1844.50737</v>
      </c>
      <c r="H112" s="197">
        <f t="shared" si="4"/>
        <v>100</v>
      </c>
    </row>
    <row r="113" spans="1:8" ht="25.5">
      <c r="A113" s="108" t="s">
        <v>207</v>
      </c>
      <c r="B113" s="112" t="s">
        <v>58</v>
      </c>
      <c r="C113" s="112" t="s">
        <v>14</v>
      </c>
      <c r="D113" s="112" t="s">
        <v>250</v>
      </c>
      <c r="E113" s="112" t="s">
        <v>24</v>
      </c>
      <c r="F113" s="166">
        <f>1844507.37/1000</f>
        <v>1844.50737</v>
      </c>
      <c r="G113" s="138">
        <f>1844507.37/1000</f>
        <v>1844.50737</v>
      </c>
      <c r="H113" s="197">
        <f t="shared" si="4"/>
        <v>100</v>
      </c>
    </row>
    <row r="114" spans="1:8" ht="25.5">
      <c r="A114" s="108" t="s">
        <v>251</v>
      </c>
      <c r="B114" s="112" t="s">
        <v>58</v>
      </c>
      <c r="C114" s="112" t="s">
        <v>14</v>
      </c>
      <c r="D114" s="141" t="s">
        <v>252</v>
      </c>
      <c r="E114" s="141"/>
      <c r="F114" s="139">
        <f>F115</f>
        <v>1281.7763</v>
      </c>
      <c r="G114" s="139">
        <f>G115</f>
        <v>1281.7763</v>
      </c>
      <c r="H114" s="197">
        <f t="shared" si="4"/>
        <v>100</v>
      </c>
    </row>
    <row r="115" spans="1:8" ht="25.5">
      <c r="A115" s="108" t="s">
        <v>22</v>
      </c>
      <c r="B115" s="112" t="s">
        <v>58</v>
      </c>
      <c r="C115" s="112" t="s">
        <v>14</v>
      </c>
      <c r="D115" s="141" t="s">
        <v>252</v>
      </c>
      <c r="E115" s="141" t="s">
        <v>23</v>
      </c>
      <c r="F115" s="139">
        <f>F116</f>
        <v>1281.7763</v>
      </c>
      <c r="G115" s="139">
        <f>G116</f>
        <v>1281.7763</v>
      </c>
      <c r="H115" s="197">
        <f t="shared" si="4"/>
        <v>100</v>
      </c>
    </row>
    <row r="116" spans="1:8" ht="25.5">
      <c r="A116" s="108" t="s">
        <v>207</v>
      </c>
      <c r="B116" s="112" t="s">
        <v>58</v>
      </c>
      <c r="C116" s="112" t="s">
        <v>14</v>
      </c>
      <c r="D116" s="141" t="s">
        <v>252</v>
      </c>
      <c r="E116" s="141" t="s">
        <v>24</v>
      </c>
      <c r="F116" s="139">
        <f>1281776.3/1000</f>
        <v>1281.7763</v>
      </c>
      <c r="G116" s="138">
        <f>1281776.3/1000</f>
        <v>1281.7763</v>
      </c>
      <c r="H116" s="197">
        <f t="shared" si="4"/>
        <v>100</v>
      </c>
    </row>
    <row r="117" spans="1:8">
      <c r="A117" s="128" t="s">
        <v>63</v>
      </c>
      <c r="B117" s="130" t="s">
        <v>58</v>
      </c>
      <c r="C117" s="130" t="s">
        <v>46</v>
      </c>
      <c r="D117" s="130"/>
      <c r="E117" s="130"/>
      <c r="F117" s="131">
        <f>F118+F139+F144</f>
        <v>50400.614310000004</v>
      </c>
      <c r="G117" s="131">
        <f>G118+G139+G144</f>
        <v>50365.414310000007</v>
      </c>
      <c r="H117" s="204">
        <f t="shared" si="4"/>
        <v>99.930159581421989</v>
      </c>
    </row>
    <row r="118" spans="1:8" ht="51">
      <c r="A118" s="110" t="s">
        <v>253</v>
      </c>
      <c r="B118" s="112" t="s">
        <v>58</v>
      </c>
      <c r="C118" s="112" t="s">
        <v>46</v>
      </c>
      <c r="D118" s="112" t="s">
        <v>254</v>
      </c>
      <c r="E118" s="112"/>
      <c r="F118" s="166">
        <f>F119+F124+F129+F134</f>
        <v>22365.807550000001</v>
      </c>
      <c r="G118" s="166">
        <f>G119+G124+G129+G134</f>
        <v>22330.607550000001</v>
      </c>
      <c r="H118" s="197">
        <f t="shared" si="4"/>
        <v>99.842616905643538</v>
      </c>
    </row>
    <row r="119" spans="1:8">
      <c r="A119" s="110" t="s">
        <v>255</v>
      </c>
      <c r="B119" s="112" t="s">
        <v>58</v>
      </c>
      <c r="C119" s="112" t="s">
        <v>46</v>
      </c>
      <c r="D119" s="112" t="s">
        <v>256</v>
      </c>
      <c r="E119" s="112"/>
      <c r="F119" s="166">
        <f t="shared" ref="F119:G122" si="9">F120</f>
        <v>7978.4092599999994</v>
      </c>
      <c r="G119" s="166">
        <f t="shared" si="9"/>
        <v>7978.4092599999994</v>
      </c>
      <c r="H119" s="197">
        <f t="shared" si="4"/>
        <v>100</v>
      </c>
    </row>
    <row r="120" spans="1:8" ht="38.25">
      <c r="A120" s="110" t="s">
        <v>235</v>
      </c>
      <c r="B120" s="112" t="s">
        <v>58</v>
      </c>
      <c r="C120" s="112" t="s">
        <v>46</v>
      </c>
      <c r="D120" s="112" t="s">
        <v>257</v>
      </c>
      <c r="E120" s="112"/>
      <c r="F120" s="166">
        <f t="shared" si="9"/>
        <v>7978.4092599999994</v>
      </c>
      <c r="G120" s="166">
        <f t="shared" si="9"/>
        <v>7978.4092599999994</v>
      </c>
      <c r="H120" s="197">
        <f t="shared" si="4"/>
        <v>100</v>
      </c>
    </row>
    <row r="121" spans="1:8">
      <c r="A121" s="110" t="s">
        <v>258</v>
      </c>
      <c r="B121" s="112" t="s">
        <v>58</v>
      </c>
      <c r="C121" s="112" t="s">
        <v>46</v>
      </c>
      <c r="D121" s="112" t="s">
        <v>259</v>
      </c>
      <c r="E121" s="112"/>
      <c r="F121" s="166">
        <f t="shared" si="9"/>
        <v>7978.4092599999994</v>
      </c>
      <c r="G121" s="166">
        <f t="shared" si="9"/>
        <v>7978.4092599999994</v>
      </c>
      <c r="H121" s="197">
        <f t="shared" si="4"/>
        <v>100</v>
      </c>
    </row>
    <row r="122" spans="1:8" ht="25.5">
      <c r="A122" s="108" t="s">
        <v>22</v>
      </c>
      <c r="B122" s="112" t="s">
        <v>58</v>
      </c>
      <c r="C122" s="112" t="s">
        <v>46</v>
      </c>
      <c r="D122" s="112" t="s">
        <v>259</v>
      </c>
      <c r="E122" s="112" t="s">
        <v>23</v>
      </c>
      <c r="F122" s="166">
        <f t="shared" si="9"/>
        <v>7978.4092599999994</v>
      </c>
      <c r="G122" s="166">
        <f t="shared" si="9"/>
        <v>7978.4092599999994</v>
      </c>
      <c r="H122" s="197">
        <f t="shared" si="4"/>
        <v>100</v>
      </c>
    </row>
    <row r="123" spans="1:8" ht="25.5">
      <c r="A123" s="108" t="s">
        <v>207</v>
      </c>
      <c r="B123" s="112" t="s">
        <v>58</v>
      </c>
      <c r="C123" s="112" t="s">
        <v>46</v>
      </c>
      <c r="D123" s="112" t="s">
        <v>259</v>
      </c>
      <c r="E123" s="163" t="s">
        <v>24</v>
      </c>
      <c r="F123" s="166">
        <f>(8624721.03-646311.77)/1000</f>
        <v>7978.4092599999994</v>
      </c>
      <c r="G123" s="138">
        <f>7978409.26/1000</f>
        <v>7978.4092599999994</v>
      </c>
      <c r="H123" s="197">
        <f t="shared" si="4"/>
        <v>100</v>
      </c>
    </row>
    <row r="124" spans="1:8">
      <c r="A124" s="110" t="s">
        <v>260</v>
      </c>
      <c r="B124" s="112" t="s">
        <v>58</v>
      </c>
      <c r="C124" s="112" t="s">
        <v>46</v>
      </c>
      <c r="D124" s="112" t="s">
        <v>261</v>
      </c>
      <c r="E124" s="112"/>
      <c r="F124" s="166">
        <f t="shared" ref="F124:G127" si="10">F125</f>
        <v>499.06970000000001</v>
      </c>
      <c r="G124" s="166">
        <f t="shared" si="10"/>
        <v>499.06970000000001</v>
      </c>
      <c r="H124" s="197">
        <f t="shared" si="4"/>
        <v>100</v>
      </c>
    </row>
    <row r="125" spans="1:8" ht="38.25">
      <c r="A125" s="110" t="s">
        <v>235</v>
      </c>
      <c r="B125" s="112" t="s">
        <v>58</v>
      </c>
      <c r="C125" s="112" t="s">
        <v>46</v>
      </c>
      <c r="D125" s="112" t="s">
        <v>262</v>
      </c>
      <c r="E125" s="112"/>
      <c r="F125" s="166">
        <f t="shared" si="10"/>
        <v>499.06970000000001</v>
      </c>
      <c r="G125" s="166">
        <f t="shared" si="10"/>
        <v>499.06970000000001</v>
      </c>
      <c r="H125" s="197">
        <f t="shared" si="4"/>
        <v>100</v>
      </c>
    </row>
    <row r="126" spans="1:8">
      <c r="A126" s="110" t="s">
        <v>263</v>
      </c>
      <c r="B126" s="112" t="s">
        <v>58</v>
      </c>
      <c r="C126" s="112" t="s">
        <v>46</v>
      </c>
      <c r="D126" s="112" t="s">
        <v>264</v>
      </c>
      <c r="E126" s="112"/>
      <c r="F126" s="166">
        <f t="shared" si="10"/>
        <v>499.06970000000001</v>
      </c>
      <c r="G126" s="166">
        <f t="shared" si="10"/>
        <v>499.06970000000001</v>
      </c>
      <c r="H126" s="197">
        <f t="shared" si="4"/>
        <v>100</v>
      </c>
    </row>
    <row r="127" spans="1:8" ht="25.5">
      <c r="A127" s="108" t="s">
        <v>22</v>
      </c>
      <c r="B127" s="112" t="s">
        <v>58</v>
      </c>
      <c r="C127" s="112" t="s">
        <v>46</v>
      </c>
      <c r="D127" s="112" t="s">
        <v>264</v>
      </c>
      <c r="E127" s="112" t="s">
        <v>23</v>
      </c>
      <c r="F127" s="166">
        <f t="shared" si="10"/>
        <v>499.06970000000001</v>
      </c>
      <c r="G127" s="166">
        <f t="shared" si="10"/>
        <v>499.06970000000001</v>
      </c>
      <c r="H127" s="197">
        <f t="shared" si="4"/>
        <v>100</v>
      </c>
    </row>
    <row r="128" spans="1:8" ht="25.5">
      <c r="A128" s="108" t="s">
        <v>207</v>
      </c>
      <c r="B128" s="112" t="s">
        <v>58</v>
      </c>
      <c r="C128" s="112" t="s">
        <v>46</v>
      </c>
      <c r="D128" s="112" t="s">
        <v>264</v>
      </c>
      <c r="E128" s="163" t="s">
        <v>24</v>
      </c>
      <c r="F128" s="166">
        <f>499069.7/1000</f>
        <v>499.06970000000001</v>
      </c>
      <c r="G128" s="138">
        <f>499069.7/1000</f>
        <v>499.06970000000001</v>
      </c>
      <c r="H128" s="197">
        <f t="shared" si="4"/>
        <v>100</v>
      </c>
    </row>
    <row r="129" spans="1:8">
      <c r="A129" s="108" t="s">
        <v>265</v>
      </c>
      <c r="B129" s="112" t="s">
        <v>58</v>
      </c>
      <c r="C129" s="112" t="s">
        <v>46</v>
      </c>
      <c r="D129" s="112" t="s">
        <v>266</v>
      </c>
      <c r="E129" s="163"/>
      <c r="F129" s="166">
        <f t="shared" ref="F129:G132" si="11">F130</f>
        <v>9988.4017399999993</v>
      </c>
      <c r="G129" s="166">
        <f t="shared" si="11"/>
        <v>9953.2017400000004</v>
      </c>
      <c r="H129" s="197">
        <f t="shared" si="4"/>
        <v>99.647591267189071</v>
      </c>
    </row>
    <row r="130" spans="1:8" ht="38.25">
      <c r="A130" s="108" t="s">
        <v>235</v>
      </c>
      <c r="B130" s="112" t="s">
        <v>58</v>
      </c>
      <c r="C130" s="112" t="s">
        <v>46</v>
      </c>
      <c r="D130" s="112" t="s">
        <v>267</v>
      </c>
      <c r="E130" s="163"/>
      <c r="F130" s="166">
        <f t="shared" si="11"/>
        <v>9988.4017399999993</v>
      </c>
      <c r="G130" s="166">
        <f t="shared" si="11"/>
        <v>9953.2017400000004</v>
      </c>
      <c r="H130" s="197">
        <f t="shared" si="4"/>
        <v>99.647591267189071</v>
      </c>
    </row>
    <row r="131" spans="1:8">
      <c r="A131" s="108" t="s">
        <v>268</v>
      </c>
      <c r="B131" s="112" t="s">
        <v>58</v>
      </c>
      <c r="C131" s="112" t="s">
        <v>46</v>
      </c>
      <c r="D131" s="112" t="s">
        <v>269</v>
      </c>
      <c r="E131" s="163"/>
      <c r="F131" s="166">
        <f t="shared" si="11"/>
        <v>9988.4017399999993</v>
      </c>
      <c r="G131" s="166">
        <f t="shared" si="11"/>
        <v>9953.2017400000004</v>
      </c>
      <c r="H131" s="197">
        <f t="shared" si="4"/>
        <v>99.647591267189071</v>
      </c>
    </row>
    <row r="132" spans="1:8" ht="25.5">
      <c r="A132" s="108" t="s">
        <v>22</v>
      </c>
      <c r="B132" s="112" t="s">
        <v>58</v>
      </c>
      <c r="C132" s="112" t="s">
        <v>46</v>
      </c>
      <c r="D132" s="112" t="s">
        <v>269</v>
      </c>
      <c r="E132" s="163" t="s">
        <v>23</v>
      </c>
      <c r="F132" s="166">
        <f t="shared" si="11"/>
        <v>9988.4017399999993</v>
      </c>
      <c r="G132" s="166">
        <f t="shared" si="11"/>
        <v>9953.2017400000004</v>
      </c>
      <c r="H132" s="197">
        <f t="shared" si="4"/>
        <v>99.647591267189071</v>
      </c>
    </row>
    <row r="133" spans="1:8" ht="25.5">
      <c r="A133" s="108" t="s">
        <v>207</v>
      </c>
      <c r="B133" s="112" t="s">
        <v>58</v>
      </c>
      <c r="C133" s="112" t="s">
        <v>46</v>
      </c>
      <c r="D133" s="112" t="s">
        <v>269</v>
      </c>
      <c r="E133" s="163" t="s">
        <v>24</v>
      </c>
      <c r="F133" s="167">
        <f>(9988500-98.26)/1000</f>
        <v>9988.4017399999993</v>
      </c>
      <c r="G133" s="138">
        <f>9953201.74/1000</f>
        <v>9953.2017400000004</v>
      </c>
      <c r="H133" s="197">
        <f t="shared" si="4"/>
        <v>99.647591267189071</v>
      </c>
    </row>
    <row r="134" spans="1:8">
      <c r="A134" s="110" t="s">
        <v>270</v>
      </c>
      <c r="B134" s="29" t="s">
        <v>58</v>
      </c>
      <c r="C134" s="29" t="s">
        <v>46</v>
      </c>
      <c r="D134" s="29" t="s">
        <v>271</v>
      </c>
      <c r="E134" s="29"/>
      <c r="F134" s="168">
        <f>F138</f>
        <v>3899.9268500000003</v>
      </c>
      <c r="G134" s="168">
        <f>G138</f>
        <v>3899.9268500000003</v>
      </c>
      <c r="H134" s="197">
        <f t="shared" si="4"/>
        <v>100</v>
      </c>
    </row>
    <row r="135" spans="1:8" ht="38.25">
      <c r="A135" s="110" t="s">
        <v>235</v>
      </c>
      <c r="B135" s="29" t="s">
        <v>58</v>
      </c>
      <c r="C135" s="29" t="s">
        <v>46</v>
      </c>
      <c r="D135" s="29" t="s">
        <v>272</v>
      </c>
      <c r="E135" s="29"/>
      <c r="F135" s="168">
        <f t="shared" ref="F135:G137" si="12">F136</f>
        <v>3899.9268500000003</v>
      </c>
      <c r="G135" s="168">
        <f t="shared" si="12"/>
        <v>3899.9268500000003</v>
      </c>
      <c r="H135" s="197">
        <f t="shared" si="4"/>
        <v>100</v>
      </c>
    </row>
    <row r="136" spans="1:8">
      <c r="A136" s="110" t="s">
        <v>273</v>
      </c>
      <c r="B136" s="29" t="s">
        <v>58</v>
      </c>
      <c r="C136" s="29" t="s">
        <v>46</v>
      </c>
      <c r="D136" s="29" t="s">
        <v>274</v>
      </c>
      <c r="E136" s="29"/>
      <c r="F136" s="168">
        <f t="shared" si="12"/>
        <v>3899.9268500000003</v>
      </c>
      <c r="G136" s="168">
        <f t="shared" si="12"/>
        <v>3899.9268500000003</v>
      </c>
      <c r="H136" s="197">
        <f t="shared" si="4"/>
        <v>100</v>
      </c>
    </row>
    <row r="137" spans="1:8" ht="25.5">
      <c r="A137" s="108" t="s">
        <v>22</v>
      </c>
      <c r="B137" s="29" t="s">
        <v>58</v>
      </c>
      <c r="C137" s="29" t="s">
        <v>46</v>
      </c>
      <c r="D137" s="29" t="s">
        <v>274</v>
      </c>
      <c r="E137" s="29" t="s">
        <v>23</v>
      </c>
      <c r="F137" s="168">
        <f t="shared" si="12"/>
        <v>3899.9268500000003</v>
      </c>
      <c r="G137" s="168">
        <f t="shared" si="12"/>
        <v>3899.9268500000003</v>
      </c>
      <c r="H137" s="197">
        <f t="shared" si="4"/>
        <v>100</v>
      </c>
    </row>
    <row r="138" spans="1:8" ht="25.5">
      <c r="A138" s="108" t="s">
        <v>207</v>
      </c>
      <c r="B138" s="29" t="s">
        <v>58</v>
      </c>
      <c r="C138" s="29" t="s">
        <v>46</v>
      </c>
      <c r="D138" s="29" t="s">
        <v>274</v>
      </c>
      <c r="E138" s="29" t="s">
        <v>24</v>
      </c>
      <c r="F138" s="168">
        <f>3899926.85/1000</f>
        <v>3899.9268500000003</v>
      </c>
      <c r="G138" s="138">
        <f>3899926.85/1000</f>
        <v>3899.9268500000003</v>
      </c>
      <c r="H138" s="197">
        <f t="shared" si="4"/>
        <v>100</v>
      </c>
    </row>
    <row r="139" spans="1:8">
      <c r="A139" s="143" t="s">
        <v>215</v>
      </c>
      <c r="B139" s="29" t="s">
        <v>58</v>
      </c>
      <c r="C139" s="29" t="s">
        <v>46</v>
      </c>
      <c r="D139" s="29" t="s">
        <v>216</v>
      </c>
      <c r="E139" s="29"/>
      <c r="F139" s="168">
        <f>F140</f>
        <v>22992.978010000003</v>
      </c>
      <c r="G139" s="168">
        <f>G140</f>
        <v>22992.978010000003</v>
      </c>
      <c r="H139" s="197">
        <f t="shared" ref="H139:H202" si="13">G139/F139*100</f>
        <v>100</v>
      </c>
    </row>
    <row r="140" spans="1:8">
      <c r="A140" s="109" t="s">
        <v>217</v>
      </c>
      <c r="B140" s="29" t="s">
        <v>58</v>
      </c>
      <c r="C140" s="29" t="s">
        <v>46</v>
      </c>
      <c r="D140" s="29" t="s">
        <v>218</v>
      </c>
      <c r="E140" s="29"/>
      <c r="F140" s="168">
        <f>F141</f>
        <v>22992.978010000003</v>
      </c>
      <c r="G140" s="168">
        <f>G141</f>
        <v>22992.978010000003</v>
      </c>
      <c r="H140" s="197">
        <f t="shared" si="13"/>
        <v>100</v>
      </c>
    </row>
    <row r="141" spans="1:8">
      <c r="A141" s="109" t="s">
        <v>217</v>
      </c>
      <c r="B141" s="29" t="s">
        <v>58</v>
      </c>
      <c r="C141" s="29" t="s">
        <v>46</v>
      </c>
      <c r="D141" s="29" t="s">
        <v>218</v>
      </c>
      <c r="E141" s="29" t="s">
        <v>219</v>
      </c>
      <c r="F141" s="168">
        <f>F142+F143</f>
        <v>22992.978010000003</v>
      </c>
      <c r="G141" s="168">
        <f>G142+G143</f>
        <v>22992.978010000003</v>
      </c>
      <c r="H141" s="197">
        <f t="shared" si="13"/>
        <v>100</v>
      </c>
    </row>
    <row r="142" spans="1:8" ht="51">
      <c r="A142" s="108" t="s">
        <v>275</v>
      </c>
      <c r="B142" s="29" t="s">
        <v>58</v>
      </c>
      <c r="C142" s="29" t="s">
        <v>46</v>
      </c>
      <c r="D142" s="29" t="s">
        <v>218</v>
      </c>
      <c r="E142" s="29" t="s">
        <v>64</v>
      </c>
      <c r="F142" s="168">
        <f>(23546100-1608821.99)/1000</f>
        <v>21937.278010000002</v>
      </c>
      <c r="G142" s="138">
        <f>21937278.01/1000</f>
        <v>21937.278010000002</v>
      </c>
      <c r="H142" s="197">
        <f t="shared" si="13"/>
        <v>100</v>
      </c>
    </row>
    <row r="143" spans="1:8">
      <c r="A143" s="108" t="s">
        <v>31</v>
      </c>
      <c r="B143" s="29" t="s">
        <v>58</v>
      </c>
      <c r="C143" s="29" t="s">
        <v>46</v>
      </c>
      <c r="D143" s="29" t="s">
        <v>218</v>
      </c>
      <c r="E143" s="29" t="s">
        <v>32</v>
      </c>
      <c r="F143" s="168">
        <f>1055700/1000</f>
        <v>1055.7</v>
      </c>
      <c r="G143" s="138">
        <f>1055700/1000</f>
        <v>1055.7</v>
      </c>
      <c r="H143" s="197">
        <f t="shared" si="13"/>
        <v>100</v>
      </c>
    </row>
    <row r="144" spans="1:8" ht="51">
      <c r="A144" s="108" t="s">
        <v>276</v>
      </c>
      <c r="B144" s="29" t="s">
        <v>58</v>
      </c>
      <c r="C144" s="29" t="s">
        <v>46</v>
      </c>
      <c r="D144" s="29" t="s">
        <v>277</v>
      </c>
      <c r="E144" s="29"/>
      <c r="F144" s="168">
        <f>F145</f>
        <v>5041.8287500000006</v>
      </c>
      <c r="G144" s="168">
        <f>G145</f>
        <v>5041.8287500000006</v>
      </c>
      <c r="H144" s="197">
        <f t="shared" si="13"/>
        <v>100</v>
      </c>
    </row>
    <row r="145" spans="1:8" ht="38.25">
      <c r="A145" s="108" t="s">
        <v>235</v>
      </c>
      <c r="B145" s="29" t="s">
        <v>58</v>
      </c>
      <c r="C145" s="29" t="s">
        <v>46</v>
      </c>
      <c r="D145" s="29" t="s">
        <v>278</v>
      </c>
      <c r="E145" s="29"/>
      <c r="F145" s="168">
        <f>F146+F149</f>
        <v>5041.8287500000006</v>
      </c>
      <c r="G145" s="168">
        <f>G146+G149</f>
        <v>5041.8287500000006</v>
      </c>
      <c r="H145" s="197">
        <f t="shared" si="13"/>
        <v>100</v>
      </c>
    </row>
    <row r="146" spans="1:8" ht="38.25">
      <c r="A146" s="110" t="s">
        <v>279</v>
      </c>
      <c r="B146" s="29" t="s">
        <v>58</v>
      </c>
      <c r="C146" s="29" t="s">
        <v>46</v>
      </c>
      <c r="D146" s="29" t="s">
        <v>280</v>
      </c>
      <c r="E146" s="29"/>
      <c r="F146" s="168">
        <f>F147</f>
        <v>4285.5544400000008</v>
      </c>
      <c r="G146" s="168">
        <f>G147</f>
        <v>4285.5544400000008</v>
      </c>
      <c r="H146" s="197">
        <f t="shared" si="13"/>
        <v>100</v>
      </c>
    </row>
    <row r="147" spans="1:8" ht="25.5">
      <c r="A147" s="108" t="s">
        <v>22</v>
      </c>
      <c r="B147" s="29" t="s">
        <v>58</v>
      </c>
      <c r="C147" s="29" t="s">
        <v>46</v>
      </c>
      <c r="D147" s="29" t="s">
        <v>280</v>
      </c>
      <c r="E147" s="29" t="s">
        <v>23</v>
      </c>
      <c r="F147" s="168">
        <f>F148</f>
        <v>4285.5544400000008</v>
      </c>
      <c r="G147" s="168">
        <f>G148</f>
        <v>4285.5544400000008</v>
      </c>
      <c r="H147" s="197">
        <f t="shared" si="13"/>
        <v>100</v>
      </c>
    </row>
    <row r="148" spans="1:8" ht="25.5">
      <c r="A148" s="108" t="s">
        <v>207</v>
      </c>
      <c r="B148" s="29" t="s">
        <v>58</v>
      </c>
      <c r="C148" s="29" t="s">
        <v>46</v>
      </c>
      <c r="D148" s="29" t="s">
        <v>280</v>
      </c>
      <c r="E148" s="29" t="s">
        <v>24</v>
      </c>
      <c r="F148" s="169">
        <f>(4285560-5.56)/1000</f>
        <v>4285.5544400000008</v>
      </c>
      <c r="G148" s="138">
        <f>4285554.44/1000</f>
        <v>4285.5544400000008</v>
      </c>
      <c r="H148" s="197">
        <f t="shared" si="13"/>
        <v>100</v>
      </c>
    </row>
    <row r="149" spans="1:8" ht="25.5">
      <c r="A149" s="108" t="s">
        <v>281</v>
      </c>
      <c r="B149" s="29" t="s">
        <v>58</v>
      </c>
      <c r="C149" s="29" t="s">
        <v>46</v>
      </c>
      <c r="D149" s="29" t="s">
        <v>282</v>
      </c>
      <c r="E149" s="29"/>
      <c r="F149" s="169">
        <f>F150</f>
        <v>756.27431000000001</v>
      </c>
      <c r="G149" s="169">
        <f>G150</f>
        <v>756.27431000000001</v>
      </c>
      <c r="H149" s="197">
        <f t="shared" si="13"/>
        <v>100</v>
      </c>
    </row>
    <row r="150" spans="1:8" ht="25.5">
      <c r="A150" s="108" t="s">
        <v>22</v>
      </c>
      <c r="B150" s="29" t="s">
        <v>58</v>
      </c>
      <c r="C150" s="29" t="s">
        <v>46</v>
      </c>
      <c r="D150" s="29" t="s">
        <v>282</v>
      </c>
      <c r="E150" s="29" t="s">
        <v>23</v>
      </c>
      <c r="F150" s="169">
        <f>F151</f>
        <v>756.27431000000001</v>
      </c>
      <c r="G150" s="169">
        <f>G151</f>
        <v>756.27431000000001</v>
      </c>
      <c r="H150" s="197">
        <f t="shared" si="13"/>
        <v>100</v>
      </c>
    </row>
    <row r="151" spans="1:8" ht="25.5">
      <c r="A151" s="108" t="s">
        <v>207</v>
      </c>
      <c r="B151" s="29" t="s">
        <v>58</v>
      </c>
      <c r="C151" s="29" t="s">
        <v>46</v>
      </c>
      <c r="D151" s="29" t="s">
        <v>282</v>
      </c>
      <c r="E151" s="29" t="s">
        <v>24</v>
      </c>
      <c r="F151" s="169">
        <f>(789450-33175.69)/1000</f>
        <v>756.27431000000001</v>
      </c>
      <c r="G151" s="138">
        <f>756274.31/1000</f>
        <v>756.27431000000001</v>
      </c>
      <c r="H151" s="197">
        <f t="shared" si="13"/>
        <v>100</v>
      </c>
    </row>
    <row r="152" spans="1:8">
      <c r="A152" s="124" t="s">
        <v>65</v>
      </c>
      <c r="B152" s="126" t="s">
        <v>66</v>
      </c>
      <c r="C152" s="126"/>
      <c r="D152" s="126"/>
      <c r="E152" s="126"/>
      <c r="F152" s="147">
        <f>F153+F185</f>
        <v>50517.128559999997</v>
      </c>
      <c r="G152" s="147">
        <f>G153+G185</f>
        <v>48766.828810000006</v>
      </c>
      <c r="H152" s="203">
        <f t="shared" si="13"/>
        <v>96.535235077898122</v>
      </c>
    </row>
    <row r="153" spans="1:8">
      <c r="A153" s="128" t="s">
        <v>67</v>
      </c>
      <c r="B153" s="130" t="s">
        <v>66</v>
      </c>
      <c r="C153" s="130" t="s">
        <v>12</v>
      </c>
      <c r="D153" s="130"/>
      <c r="E153" s="130"/>
      <c r="F153" s="145">
        <f>F154+F183+F184</f>
        <v>40816.50851</v>
      </c>
      <c r="G153" s="145">
        <f>G154+G183+G184</f>
        <v>39066.208760000001</v>
      </c>
      <c r="H153" s="204">
        <f t="shared" si="13"/>
        <v>95.711784731486333</v>
      </c>
    </row>
    <row r="154" spans="1:8">
      <c r="A154" s="172" t="s">
        <v>283</v>
      </c>
      <c r="B154" s="184" t="s">
        <v>66</v>
      </c>
      <c r="C154" s="184" t="s">
        <v>12</v>
      </c>
      <c r="D154" s="184" t="s">
        <v>284</v>
      </c>
      <c r="E154" s="184"/>
      <c r="F154" s="174">
        <f>F155+F176</f>
        <v>40264.849949999996</v>
      </c>
      <c r="G154" s="174">
        <f>G155+G176</f>
        <v>38514.550199999998</v>
      </c>
      <c r="H154" s="197">
        <f t="shared" si="13"/>
        <v>95.653032974980704</v>
      </c>
    </row>
    <row r="155" spans="1:8">
      <c r="A155" s="109" t="s">
        <v>285</v>
      </c>
      <c r="B155" s="133" t="s">
        <v>66</v>
      </c>
      <c r="C155" s="133" t="s">
        <v>12</v>
      </c>
      <c r="D155" s="133" t="s">
        <v>286</v>
      </c>
      <c r="E155" s="133"/>
      <c r="F155" s="146">
        <f>F156+F167</f>
        <v>38290.890489999998</v>
      </c>
      <c r="G155" s="146">
        <f>G156+G167</f>
        <v>36540.59074</v>
      </c>
      <c r="H155" s="197">
        <f t="shared" si="13"/>
        <v>95.428939552980353</v>
      </c>
    </row>
    <row r="156" spans="1:8" ht="25.5">
      <c r="A156" s="109" t="s">
        <v>287</v>
      </c>
      <c r="B156" s="133" t="s">
        <v>66</v>
      </c>
      <c r="C156" s="133" t="s">
        <v>12</v>
      </c>
      <c r="D156" s="133" t="s">
        <v>288</v>
      </c>
      <c r="E156" s="133"/>
      <c r="F156" s="161">
        <f>F157</f>
        <v>36319.890489999998</v>
      </c>
      <c r="G156" s="161">
        <f>G157</f>
        <v>34569.59074</v>
      </c>
      <c r="H156" s="197">
        <f t="shared" si="13"/>
        <v>95.180878228468472</v>
      </c>
    </row>
    <row r="157" spans="1:8">
      <c r="A157" s="109" t="s">
        <v>289</v>
      </c>
      <c r="B157" s="133" t="s">
        <v>66</v>
      </c>
      <c r="C157" s="133" t="s">
        <v>12</v>
      </c>
      <c r="D157" s="133" t="s">
        <v>290</v>
      </c>
      <c r="E157" s="133"/>
      <c r="F157" s="161">
        <f>F158+F162+F164</f>
        <v>36319.890489999998</v>
      </c>
      <c r="G157" s="161">
        <f>G158+G162+G164</f>
        <v>34569.59074</v>
      </c>
      <c r="H157" s="197">
        <f t="shared" si="13"/>
        <v>95.180878228468472</v>
      </c>
    </row>
    <row r="158" spans="1:8">
      <c r="A158" s="109" t="s">
        <v>76</v>
      </c>
      <c r="B158" s="133" t="s">
        <v>66</v>
      </c>
      <c r="C158" s="133" t="s">
        <v>12</v>
      </c>
      <c r="D158" s="133" t="s">
        <v>290</v>
      </c>
      <c r="E158" s="133" t="s">
        <v>77</v>
      </c>
      <c r="F158" s="161">
        <f>F159+F160+F161</f>
        <v>25788.844819999998</v>
      </c>
      <c r="G158" s="161">
        <f>G159+G160+G161</f>
        <v>25788.794819999999</v>
      </c>
      <c r="H158" s="197">
        <f t="shared" si="13"/>
        <v>99.999806117721263</v>
      </c>
    </row>
    <row r="159" spans="1:8">
      <c r="A159" s="109" t="s">
        <v>291</v>
      </c>
      <c r="B159" s="29" t="s">
        <v>66</v>
      </c>
      <c r="C159" s="29" t="s">
        <v>12</v>
      </c>
      <c r="D159" s="133" t="s">
        <v>290</v>
      </c>
      <c r="E159" s="133" t="s">
        <v>68</v>
      </c>
      <c r="F159" s="161">
        <f>(21107597-1099835.49)/1000</f>
        <v>20007.76151</v>
      </c>
      <c r="G159" s="138">
        <f>20007761.51/1000</f>
        <v>20007.76151</v>
      </c>
      <c r="H159" s="197">
        <f t="shared" si="13"/>
        <v>100</v>
      </c>
    </row>
    <row r="160" spans="1:8" ht="25.5">
      <c r="A160" s="109" t="s">
        <v>292</v>
      </c>
      <c r="B160" s="29" t="s">
        <v>66</v>
      </c>
      <c r="C160" s="29" t="s">
        <v>12</v>
      </c>
      <c r="D160" s="133" t="s">
        <v>290</v>
      </c>
      <c r="E160" s="133" t="s">
        <v>98</v>
      </c>
      <c r="F160" s="161">
        <f>50/1000</f>
        <v>0.05</v>
      </c>
      <c r="G160" s="138">
        <v>0</v>
      </c>
      <c r="H160" s="197">
        <f t="shared" si="13"/>
        <v>0</v>
      </c>
    </row>
    <row r="161" spans="1:8" ht="38.25">
      <c r="A161" s="109" t="s">
        <v>293</v>
      </c>
      <c r="B161" s="29" t="s">
        <v>66</v>
      </c>
      <c r="C161" s="29" t="s">
        <v>12</v>
      </c>
      <c r="D161" s="133" t="s">
        <v>290</v>
      </c>
      <c r="E161" s="133" t="s">
        <v>294</v>
      </c>
      <c r="F161" s="161">
        <f>(6209020-427986.69)/1000</f>
        <v>5781.0333099999998</v>
      </c>
      <c r="G161" s="138">
        <f>5781033.31/1000</f>
        <v>5781.0333099999998</v>
      </c>
      <c r="H161" s="197">
        <f t="shared" si="13"/>
        <v>100</v>
      </c>
    </row>
    <row r="162" spans="1:8" ht="25.5">
      <c r="A162" s="108" t="s">
        <v>22</v>
      </c>
      <c r="B162" s="29" t="s">
        <v>66</v>
      </c>
      <c r="C162" s="29" t="s">
        <v>12</v>
      </c>
      <c r="D162" s="133" t="s">
        <v>290</v>
      </c>
      <c r="E162" s="133" t="s">
        <v>23</v>
      </c>
      <c r="F162" s="161">
        <f>F163</f>
        <v>10338.661749999999</v>
      </c>
      <c r="G162" s="161">
        <f>G163</f>
        <v>8588.4120000000003</v>
      </c>
      <c r="H162" s="197">
        <f t="shared" si="13"/>
        <v>83.07082877530064</v>
      </c>
    </row>
    <row r="163" spans="1:8" ht="25.5">
      <c r="A163" s="116" t="s">
        <v>207</v>
      </c>
      <c r="B163" s="114" t="s">
        <v>66</v>
      </c>
      <c r="C163" s="114" t="s">
        <v>12</v>
      </c>
      <c r="D163" s="115" t="s">
        <v>290</v>
      </c>
      <c r="E163" s="115" t="s">
        <v>24</v>
      </c>
      <c r="F163" s="146">
        <f>(9573600-31304.7+796366.45)/1000</f>
        <v>10338.661749999999</v>
      </c>
      <c r="G163" s="138">
        <f>8588412/1000</f>
        <v>8588.4120000000003</v>
      </c>
      <c r="H163" s="197">
        <f t="shared" si="13"/>
        <v>83.07082877530064</v>
      </c>
    </row>
    <row r="164" spans="1:8">
      <c r="A164" s="116" t="s">
        <v>25</v>
      </c>
      <c r="B164" s="114" t="s">
        <v>66</v>
      </c>
      <c r="C164" s="114" t="s">
        <v>12</v>
      </c>
      <c r="D164" s="115" t="s">
        <v>290</v>
      </c>
      <c r="E164" s="115" t="s">
        <v>26</v>
      </c>
      <c r="F164" s="146">
        <f>F165+F166</f>
        <v>192.38392000000002</v>
      </c>
      <c r="G164" s="146">
        <f>G165+G166</f>
        <v>192.38392000000002</v>
      </c>
      <c r="H164" s="197">
        <f t="shared" si="13"/>
        <v>100</v>
      </c>
    </row>
    <row r="165" spans="1:8" ht="25.5">
      <c r="A165" s="116" t="s">
        <v>27</v>
      </c>
      <c r="B165" s="114" t="s">
        <v>66</v>
      </c>
      <c r="C165" s="114" t="s">
        <v>12</v>
      </c>
      <c r="D165" s="115" t="s">
        <v>290</v>
      </c>
      <c r="E165" s="177" t="s">
        <v>28</v>
      </c>
      <c r="F165" s="146">
        <f>7897/1000</f>
        <v>7.8970000000000002</v>
      </c>
      <c r="G165" s="138">
        <f>7897/1000</f>
        <v>7.8970000000000002</v>
      </c>
      <c r="H165" s="197">
        <f t="shared" si="13"/>
        <v>100</v>
      </c>
    </row>
    <row r="166" spans="1:8">
      <c r="A166" s="116" t="s">
        <v>295</v>
      </c>
      <c r="B166" s="114" t="s">
        <v>66</v>
      </c>
      <c r="C166" s="114" t="s">
        <v>12</v>
      </c>
      <c r="D166" s="115" t="s">
        <v>290</v>
      </c>
      <c r="E166" s="177" t="s">
        <v>29</v>
      </c>
      <c r="F166" s="146">
        <f>(200000-15513.08)/1000</f>
        <v>184.48692000000003</v>
      </c>
      <c r="G166" s="138">
        <f>184486.92/1000</f>
        <v>184.48692000000003</v>
      </c>
      <c r="H166" s="197">
        <f t="shared" si="13"/>
        <v>100</v>
      </c>
    </row>
    <row r="167" spans="1:8" ht="25.5">
      <c r="A167" s="175" t="s">
        <v>287</v>
      </c>
      <c r="B167" s="115" t="s">
        <v>66</v>
      </c>
      <c r="C167" s="115" t="s">
        <v>12</v>
      </c>
      <c r="D167" s="115" t="s">
        <v>296</v>
      </c>
      <c r="E167" s="177"/>
      <c r="F167" s="146">
        <f>F168+F172</f>
        <v>1971</v>
      </c>
      <c r="G167" s="146">
        <f>G168+G172</f>
        <v>1971</v>
      </c>
      <c r="H167" s="197">
        <f t="shared" si="13"/>
        <v>100</v>
      </c>
    </row>
    <row r="168" spans="1:8" ht="38.25">
      <c r="A168" s="116" t="s">
        <v>297</v>
      </c>
      <c r="B168" s="115" t="s">
        <v>66</v>
      </c>
      <c r="C168" s="115" t="s">
        <v>12</v>
      </c>
      <c r="D168" s="115" t="s">
        <v>298</v>
      </c>
      <c r="E168" s="177"/>
      <c r="F168" s="146">
        <f>F169</f>
        <v>657</v>
      </c>
      <c r="G168" s="146">
        <f>G169</f>
        <v>657</v>
      </c>
      <c r="H168" s="197">
        <f t="shared" si="13"/>
        <v>100</v>
      </c>
    </row>
    <row r="169" spans="1:8">
      <c r="A169" s="175" t="s">
        <v>76</v>
      </c>
      <c r="B169" s="115" t="s">
        <v>66</v>
      </c>
      <c r="C169" s="115" t="s">
        <v>12</v>
      </c>
      <c r="D169" s="115" t="s">
        <v>298</v>
      </c>
      <c r="E169" s="115" t="s">
        <v>77</v>
      </c>
      <c r="F169" s="146">
        <f>F170+F171</f>
        <v>657</v>
      </c>
      <c r="G169" s="146">
        <f>G170+G171</f>
        <v>657</v>
      </c>
      <c r="H169" s="197">
        <f t="shared" si="13"/>
        <v>100</v>
      </c>
    </row>
    <row r="170" spans="1:8">
      <c r="A170" s="175" t="s">
        <v>291</v>
      </c>
      <c r="B170" s="114" t="s">
        <v>66</v>
      </c>
      <c r="C170" s="114" t="s">
        <v>12</v>
      </c>
      <c r="D170" s="115" t="s">
        <v>298</v>
      </c>
      <c r="E170" s="115" t="s">
        <v>68</v>
      </c>
      <c r="F170" s="146">
        <f>504600/1000</f>
        <v>504.6</v>
      </c>
      <c r="G170" s="138">
        <f>504600/1000</f>
        <v>504.6</v>
      </c>
      <c r="H170" s="197">
        <f t="shared" si="13"/>
        <v>100</v>
      </c>
    </row>
    <row r="171" spans="1:8" ht="38.25">
      <c r="A171" s="175" t="s">
        <v>293</v>
      </c>
      <c r="B171" s="114" t="s">
        <v>66</v>
      </c>
      <c r="C171" s="114" t="s">
        <v>12</v>
      </c>
      <c r="D171" s="115" t="s">
        <v>298</v>
      </c>
      <c r="E171" s="115" t="s">
        <v>294</v>
      </c>
      <c r="F171" s="146">
        <f>152400/1000</f>
        <v>152.4</v>
      </c>
      <c r="G171" s="138">
        <f>152400/1000</f>
        <v>152.4</v>
      </c>
      <c r="H171" s="197">
        <f t="shared" si="13"/>
        <v>100</v>
      </c>
    </row>
    <row r="172" spans="1:8" ht="51">
      <c r="A172" s="116" t="s">
        <v>299</v>
      </c>
      <c r="B172" s="115" t="s">
        <v>66</v>
      </c>
      <c r="C172" s="115" t="s">
        <v>12</v>
      </c>
      <c r="D172" s="115" t="s">
        <v>300</v>
      </c>
      <c r="E172" s="177"/>
      <c r="F172" s="146">
        <f>F173</f>
        <v>1314</v>
      </c>
      <c r="G172" s="146">
        <f>G173</f>
        <v>1314</v>
      </c>
      <c r="H172" s="197">
        <f t="shared" si="13"/>
        <v>100</v>
      </c>
    </row>
    <row r="173" spans="1:8">
      <c r="A173" s="175" t="s">
        <v>76</v>
      </c>
      <c r="B173" s="115" t="s">
        <v>66</v>
      </c>
      <c r="C173" s="115" t="s">
        <v>12</v>
      </c>
      <c r="D173" s="115" t="s">
        <v>300</v>
      </c>
      <c r="E173" s="115" t="s">
        <v>77</v>
      </c>
      <c r="F173" s="146">
        <f>F174+F175</f>
        <v>1314</v>
      </c>
      <c r="G173" s="146">
        <f>G174+G175</f>
        <v>1314</v>
      </c>
      <c r="H173" s="197">
        <f t="shared" si="13"/>
        <v>100</v>
      </c>
    </row>
    <row r="174" spans="1:8">
      <c r="A174" s="175" t="s">
        <v>291</v>
      </c>
      <c r="B174" s="114" t="s">
        <v>66</v>
      </c>
      <c r="C174" s="114" t="s">
        <v>12</v>
      </c>
      <c r="D174" s="115" t="s">
        <v>300</v>
      </c>
      <c r="E174" s="115" t="s">
        <v>68</v>
      </c>
      <c r="F174" s="146">
        <f>1009200/1000</f>
        <v>1009.2</v>
      </c>
      <c r="G174" s="138">
        <f>1009200/1000</f>
        <v>1009.2</v>
      </c>
      <c r="H174" s="197">
        <f t="shared" si="13"/>
        <v>100</v>
      </c>
    </row>
    <row r="175" spans="1:8" ht="38.25">
      <c r="A175" s="175" t="s">
        <v>293</v>
      </c>
      <c r="B175" s="114" t="s">
        <v>66</v>
      </c>
      <c r="C175" s="114" t="s">
        <v>12</v>
      </c>
      <c r="D175" s="115" t="s">
        <v>300</v>
      </c>
      <c r="E175" s="115" t="s">
        <v>294</v>
      </c>
      <c r="F175" s="146">
        <f>304800/1000</f>
        <v>304.8</v>
      </c>
      <c r="G175" s="138">
        <f>304800/1000</f>
        <v>304.8</v>
      </c>
      <c r="H175" s="197">
        <f t="shared" si="13"/>
        <v>100</v>
      </c>
    </row>
    <row r="176" spans="1:8">
      <c r="A176" s="108" t="s">
        <v>301</v>
      </c>
      <c r="B176" s="29" t="s">
        <v>66</v>
      </c>
      <c r="C176" s="29" t="s">
        <v>12</v>
      </c>
      <c r="D176" s="29" t="s">
        <v>302</v>
      </c>
      <c r="E176" s="141"/>
      <c r="F176" s="161">
        <f t="shared" ref="F176:G179" si="14">F177</f>
        <v>1973.95946</v>
      </c>
      <c r="G176" s="161">
        <f t="shared" si="14"/>
        <v>1973.95946</v>
      </c>
      <c r="H176" s="197">
        <f t="shared" si="13"/>
        <v>100</v>
      </c>
    </row>
    <row r="177" spans="1:8" ht="25.5">
      <c r="A177" s="109" t="s">
        <v>287</v>
      </c>
      <c r="B177" s="29" t="s">
        <v>66</v>
      </c>
      <c r="C177" s="29" t="s">
        <v>12</v>
      </c>
      <c r="D177" s="29" t="s">
        <v>303</v>
      </c>
      <c r="E177" s="141"/>
      <c r="F177" s="161">
        <f t="shared" si="14"/>
        <v>1973.95946</v>
      </c>
      <c r="G177" s="161">
        <f t="shared" si="14"/>
        <v>1973.95946</v>
      </c>
      <c r="H177" s="197">
        <f t="shared" si="13"/>
        <v>100</v>
      </c>
    </row>
    <row r="178" spans="1:8" ht="25.5">
      <c r="A178" s="108" t="s">
        <v>304</v>
      </c>
      <c r="B178" s="29" t="s">
        <v>66</v>
      </c>
      <c r="C178" s="29" t="s">
        <v>12</v>
      </c>
      <c r="D178" s="29" t="s">
        <v>305</v>
      </c>
      <c r="E178" s="141"/>
      <c r="F178" s="161">
        <f t="shared" si="14"/>
        <v>1973.95946</v>
      </c>
      <c r="G178" s="161">
        <f t="shared" si="14"/>
        <v>1973.95946</v>
      </c>
      <c r="H178" s="197">
        <f t="shared" si="13"/>
        <v>100</v>
      </c>
    </row>
    <row r="179" spans="1:8" ht="25.5">
      <c r="A179" s="108" t="s">
        <v>22</v>
      </c>
      <c r="B179" s="29" t="s">
        <v>66</v>
      </c>
      <c r="C179" s="29" t="s">
        <v>12</v>
      </c>
      <c r="D179" s="29" t="s">
        <v>305</v>
      </c>
      <c r="E179" s="141" t="s">
        <v>23</v>
      </c>
      <c r="F179" s="161">
        <f t="shared" si="14"/>
        <v>1973.95946</v>
      </c>
      <c r="G179" s="161">
        <f t="shared" si="14"/>
        <v>1973.95946</v>
      </c>
      <c r="H179" s="197">
        <f t="shared" si="13"/>
        <v>100</v>
      </c>
    </row>
    <row r="180" spans="1:8" ht="25.5">
      <c r="A180" s="108" t="s">
        <v>207</v>
      </c>
      <c r="B180" s="29" t="s">
        <v>66</v>
      </c>
      <c r="C180" s="29" t="s">
        <v>12</v>
      </c>
      <c r="D180" s="29" t="s">
        <v>305</v>
      </c>
      <c r="E180" s="141" t="s">
        <v>24</v>
      </c>
      <c r="F180" s="151">
        <f>1973959.46/1000</f>
        <v>1973.95946</v>
      </c>
      <c r="G180" s="138">
        <f>1973959.46/1000</f>
        <v>1973.95946</v>
      </c>
      <c r="H180" s="197">
        <f t="shared" si="13"/>
        <v>100</v>
      </c>
    </row>
    <row r="181" spans="1:8" ht="25.5">
      <c r="A181" s="108" t="s">
        <v>340</v>
      </c>
      <c r="B181" s="29" t="s">
        <v>66</v>
      </c>
      <c r="C181" s="29" t="s">
        <v>12</v>
      </c>
      <c r="D181" s="29" t="s">
        <v>307</v>
      </c>
      <c r="E181" s="141"/>
      <c r="F181" s="151">
        <f>F182</f>
        <v>551.24469999999997</v>
      </c>
      <c r="G181" s="151">
        <f>G182</f>
        <v>551.24469999999997</v>
      </c>
      <c r="H181" s="197">
        <f t="shared" si="13"/>
        <v>100</v>
      </c>
    </row>
    <row r="182" spans="1:8" ht="25.5">
      <c r="A182" s="108" t="s">
        <v>22</v>
      </c>
      <c r="B182" s="133" t="s">
        <v>66</v>
      </c>
      <c r="C182" s="133" t="s">
        <v>12</v>
      </c>
      <c r="D182" s="142" t="s">
        <v>308</v>
      </c>
      <c r="E182" s="133" t="s">
        <v>23</v>
      </c>
      <c r="F182" s="151">
        <f>F183</f>
        <v>551.24469999999997</v>
      </c>
      <c r="G182" s="151">
        <f>G183</f>
        <v>551.24469999999997</v>
      </c>
      <c r="H182" s="197">
        <f t="shared" si="13"/>
        <v>100</v>
      </c>
    </row>
    <row r="183" spans="1:8" ht="25.5">
      <c r="A183" s="108" t="s">
        <v>207</v>
      </c>
      <c r="B183" s="133" t="s">
        <v>66</v>
      </c>
      <c r="C183" s="133" t="s">
        <v>12</v>
      </c>
      <c r="D183" s="142" t="s">
        <v>308</v>
      </c>
      <c r="E183" s="133" t="s">
        <v>24</v>
      </c>
      <c r="F183" s="152">
        <f>551244.7/1000</f>
        <v>551.24469999999997</v>
      </c>
      <c r="G183" s="152">
        <f>551244.7/1000</f>
        <v>551.24469999999997</v>
      </c>
      <c r="H183" s="197">
        <f t="shared" si="13"/>
        <v>100</v>
      </c>
    </row>
    <row r="184" spans="1:8">
      <c r="A184" s="108" t="s">
        <v>42</v>
      </c>
      <c r="B184" s="133" t="s">
        <v>66</v>
      </c>
      <c r="C184" s="133" t="s">
        <v>12</v>
      </c>
      <c r="D184" s="142" t="s">
        <v>309</v>
      </c>
      <c r="E184" s="133" t="s">
        <v>43</v>
      </c>
      <c r="F184" s="151">
        <f>413.86/1000</f>
        <v>0.41386000000000001</v>
      </c>
      <c r="G184" s="138">
        <f>413.86/1000</f>
        <v>0.41386000000000001</v>
      </c>
      <c r="H184" s="197">
        <f t="shared" si="13"/>
        <v>100</v>
      </c>
    </row>
    <row r="185" spans="1:8">
      <c r="A185" s="232" t="s">
        <v>69</v>
      </c>
      <c r="B185" s="234" t="s">
        <v>66</v>
      </c>
      <c r="C185" s="234" t="s">
        <v>20</v>
      </c>
      <c r="D185" s="234"/>
      <c r="E185" s="234"/>
      <c r="F185" s="235">
        <f>F186</f>
        <v>9700.6200500000014</v>
      </c>
      <c r="G185" s="235">
        <f>G186</f>
        <v>9700.6200500000014</v>
      </c>
      <c r="H185" s="201">
        <f t="shared" si="13"/>
        <v>100</v>
      </c>
    </row>
    <row r="186" spans="1:8">
      <c r="A186" s="110" t="s">
        <v>215</v>
      </c>
      <c r="B186" s="112" t="s">
        <v>66</v>
      </c>
      <c r="C186" s="112" t="s">
        <v>20</v>
      </c>
      <c r="D186" s="112" t="s">
        <v>216</v>
      </c>
      <c r="E186" s="112"/>
      <c r="F186" s="161">
        <f>F187</f>
        <v>9700.6200500000014</v>
      </c>
      <c r="G186" s="161">
        <f>G187</f>
        <v>9700.6200500000014</v>
      </c>
      <c r="H186" s="197">
        <f t="shared" si="13"/>
        <v>100</v>
      </c>
    </row>
    <row r="187" spans="1:8">
      <c r="A187" s="117" t="s">
        <v>310</v>
      </c>
      <c r="B187" s="29" t="s">
        <v>66</v>
      </c>
      <c r="C187" s="29" t="s">
        <v>20</v>
      </c>
      <c r="D187" s="29" t="s">
        <v>311</v>
      </c>
      <c r="E187" s="29"/>
      <c r="F187" s="151">
        <f>F188+F191+F193</f>
        <v>9700.6200500000014</v>
      </c>
      <c r="G187" s="151">
        <f>G188+G191+G193</f>
        <v>9700.6200500000014</v>
      </c>
      <c r="H187" s="197">
        <f t="shared" si="13"/>
        <v>100</v>
      </c>
    </row>
    <row r="188" spans="1:8">
      <c r="A188" s="109" t="s">
        <v>76</v>
      </c>
      <c r="B188" s="29" t="s">
        <v>66</v>
      </c>
      <c r="C188" s="29" t="s">
        <v>20</v>
      </c>
      <c r="D188" s="29" t="s">
        <v>311</v>
      </c>
      <c r="E188" s="29" t="s">
        <v>77</v>
      </c>
      <c r="F188" s="151">
        <f>F189+F190</f>
        <v>9335.797340000001</v>
      </c>
      <c r="G188" s="151">
        <f>G189+G190</f>
        <v>9335.797340000001</v>
      </c>
      <c r="H188" s="197">
        <f t="shared" si="13"/>
        <v>100</v>
      </c>
    </row>
    <row r="189" spans="1:8">
      <c r="A189" s="109" t="s">
        <v>291</v>
      </c>
      <c r="B189" s="29" t="s">
        <v>66</v>
      </c>
      <c r="C189" s="29" t="s">
        <v>20</v>
      </c>
      <c r="D189" s="29" t="s">
        <v>311</v>
      </c>
      <c r="E189" s="133" t="s">
        <v>68</v>
      </c>
      <c r="F189" s="151">
        <f>(7983758-724745.42)/1000</f>
        <v>7259.0125800000005</v>
      </c>
      <c r="G189" s="138">
        <f>7259012.58/1000</f>
        <v>7259.0125800000005</v>
      </c>
      <c r="H189" s="197">
        <f t="shared" si="13"/>
        <v>100</v>
      </c>
    </row>
    <row r="190" spans="1:8" ht="38.25">
      <c r="A190" s="109" t="s">
        <v>293</v>
      </c>
      <c r="B190" s="29" t="s">
        <v>66</v>
      </c>
      <c r="C190" s="29" t="s">
        <v>20</v>
      </c>
      <c r="D190" s="29" t="s">
        <v>311</v>
      </c>
      <c r="E190" s="133" t="s">
        <v>294</v>
      </c>
      <c r="F190" s="151">
        <f>(2411142-334357.24)/1000</f>
        <v>2076.78476</v>
      </c>
      <c r="G190" s="138">
        <f>2076784.76/1000</f>
        <v>2076.78476</v>
      </c>
      <c r="H190" s="197">
        <f t="shared" si="13"/>
        <v>100</v>
      </c>
    </row>
    <row r="191" spans="1:8" ht="25.5">
      <c r="A191" s="108" t="s">
        <v>22</v>
      </c>
      <c r="B191" s="29" t="s">
        <v>66</v>
      </c>
      <c r="C191" s="29" t="s">
        <v>20</v>
      </c>
      <c r="D191" s="29" t="s">
        <v>311</v>
      </c>
      <c r="E191" s="133" t="s">
        <v>23</v>
      </c>
      <c r="F191" s="151">
        <f>F192</f>
        <v>350.06099999999998</v>
      </c>
      <c r="G191" s="151">
        <f>G192</f>
        <v>350.06099999999998</v>
      </c>
      <c r="H191" s="197">
        <f t="shared" si="13"/>
        <v>100</v>
      </c>
    </row>
    <row r="192" spans="1:8" ht="25.5">
      <c r="A192" s="108" t="s">
        <v>207</v>
      </c>
      <c r="B192" s="29" t="s">
        <v>66</v>
      </c>
      <c r="C192" s="29" t="s">
        <v>20</v>
      </c>
      <c r="D192" s="29" t="s">
        <v>311</v>
      </c>
      <c r="E192" s="133" t="s">
        <v>24</v>
      </c>
      <c r="F192" s="151">
        <f>350061/1000</f>
        <v>350.06099999999998</v>
      </c>
      <c r="G192" s="138">
        <f>350061/1000</f>
        <v>350.06099999999998</v>
      </c>
      <c r="H192" s="197">
        <f t="shared" si="13"/>
        <v>100</v>
      </c>
    </row>
    <row r="193" spans="1:8">
      <c r="A193" s="108" t="s">
        <v>25</v>
      </c>
      <c r="B193" s="29" t="s">
        <v>66</v>
      </c>
      <c r="C193" s="29" t="s">
        <v>20</v>
      </c>
      <c r="D193" s="29" t="s">
        <v>311</v>
      </c>
      <c r="E193" s="133" t="s">
        <v>26</v>
      </c>
      <c r="F193" s="151">
        <f>F194+F195</f>
        <v>14.761709999999999</v>
      </c>
      <c r="G193" s="151">
        <f>G194+G195</f>
        <v>14.761709999999999</v>
      </c>
      <c r="H193" s="197">
        <f t="shared" si="13"/>
        <v>100</v>
      </c>
    </row>
    <row r="194" spans="1:8" ht="25.5">
      <c r="A194" s="108" t="s">
        <v>27</v>
      </c>
      <c r="B194" s="29" t="s">
        <v>66</v>
      </c>
      <c r="C194" s="29" t="s">
        <v>20</v>
      </c>
      <c r="D194" s="29" t="s">
        <v>311</v>
      </c>
      <c r="E194" s="141" t="s">
        <v>28</v>
      </c>
      <c r="F194" s="151">
        <v>0</v>
      </c>
      <c r="G194" s="138">
        <v>0</v>
      </c>
      <c r="H194" s="197" t="e">
        <f t="shared" si="13"/>
        <v>#DIV/0!</v>
      </c>
    </row>
    <row r="195" spans="1:8">
      <c r="A195" s="108" t="s">
        <v>295</v>
      </c>
      <c r="B195" s="29" t="s">
        <v>66</v>
      </c>
      <c r="C195" s="29" t="s">
        <v>20</v>
      </c>
      <c r="D195" s="29" t="s">
        <v>311</v>
      </c>
      <c r="E195" s="141" t="s">
        <v>29</v>
      </c>
      <c r="F195" s="151">
        <f>(14760.41+1.3)/1000</f>
        <v>14.761709999999999</v>
      </c>
      <c r="G195" s="138">
        <f>14761.71/1000</f>
        <v>14.761709999999999</v>
      </c>
      <c r="H195" s="197">
        <f t="shared" si="13"/>
        <v>100</v>
      </c>
    </row>
    <row r="196" spans="1:8">
      <c r="A196" s="153" t="s">
        <v>70</v>
      </c>
      <c r="B196" s="126" t="s">
        <v>50</v>
      </c>
      <c r="C196" s="178"/>
      <c r="D196" s="178"/>
      <c r="E196" s="178"/>
      <c r="F196" s="147">
        <f t="shared" ref="F196:G200" si="15">F197</f>
        <v>294.68387999999999</v>
      </c>
      <c r="G196" s="147">
        <f t="shared" si="15"/>
        <v>294.68387999999999</v>
      </c>
      <c r="H196" s="203">
        <f t="shared" si="13"/>
        <v>100</v>
      </c>
    </row>
    <row r="197" spans="1:8">
      <c r="A197" s="213" t="s">
        <v>71</v>
      </c>
      <c r="B197" s="214" t="s">
        <v>50</v>
      </c>
      <c r="C197" s="215" t="s">
        <v>12</v>
      </c>
      <c r="D197" s="215"/>
      <c r="E197" s="215"/>
      <c r="F197" s="216">
        <f t="shared" si="15"/>
        <v>294.68387999999999</v>
      </c>
      <c r="G197" s="216">
        <f t="shared" si="15"/>
        <v>294.68387999999999</v>
      </c>
      <c r="H197" s="204">
        <f t="shared" si="13"/>
        <v>100</v>
      </c>
    </row>
    <row r="198" spans="1:8">
      <c r="A198" s="87" t="s">
        <v>215</v>
      </c>
      <c r="B198" s="133" t="s">
        <v>50</v>
      </c>
      <c r="C198" s="180" t="s">
        <v>12</v>
      </c>
      <c r="D198" s="180" t="s">
        <v>216</v>
      </c>
      <c r="E198" s="180"/>
      <c r="F198" s="137">
        <f t="shared" si="15"/>
        <v>294.68387999999999</v>
      </c>
      <c r="G198" s="137">
        <f t="shared" si="15"/>
        <v>294.68387999999999</v>
      </c>
      <c r="H198" s="197">
        <f t="shared" si="13"/>
        <v>100</v>
      </c>
    </row>
    <row r="199" spans="1:8">
      <c r="A199" s="87" t="s">
        <v>312</v>
      </c>
      <c r="B199" s="133" t="s">
        <v>50</v>
      </c>
      <c r="C199" s="180" t="s">
        <v>12</v>
      </c>
      <c r="D199" s="180" t="s">
        <v>313</v>
      </c>
      <c r="E199" s="180"/>
      <c r="F199" s="137">
        <f t="shared" si="15"/>
        <v>294.68387999999999</v>
      </c>
      <c r="G199" s="137">
        <f t="shared" si="15"/>
        <v>294.68387999999999</v>
      </c>
      <c r="H199" s="197">
        <f t="shared" si="13"/>
        <v>100</v>
      </c>
    </row>
    <row r="200" spans="1:8" ht="25.5">
      <c r="A200" s="108" t="s">
        <v>314</v>
      </c>
      <c r="B200" s="133" t="s">
        <v>50</v>
      </c>
      <c r="C200" s="180" t="s">
        <v>12</v>
      </c>
      <c r="D200" s="180" t="s">
        <v>313</v>
      </c>
      <c r="E200" s="180" t="s">
        <v>315</v>
      </c>
      <c r="F200" s="137">
        <f t="shared" si="15"/>
        <v>294.68387999999999</v>
      </c>
      <c r="G200" s="137">
        <f t="shared" si="15"/>
        <v>294.68387999999999</v>
      </c>
      <c r="H200" s="197">
        <f t="shared" si="13"/>
        <v>100</v>
      </c>
    </row>
    <row r="201" spans="1:8" ht="38.25">
      <c r="A201" s="87" t="s">
        <v>72</v>
      </c>
      <c r="B201" s="133" t="s">
        <v>50</v>
      </c>
      <c r="C201" s="180" t="s">
        <v>12</v>
      </c>
      <c r="D201" s="180" t="s">
        <v>313</v>
      </c>
      <c r="E201" s="180" t="s">
        <v>73</v>
      </c>
      <c r="F201" s="137">
        <f>294683.88/1000</f>
        <v>294.68387999999999</v>
      </c>
      <c r="G201" s="138">
        <f>294683.88/1000</f>
        <v>294.68387999999999</v>
      </c>
      <c r="H201" s="197">
        <f t="shared" si="13"/>
        <v>100</v>
      </c>
    </row>
    <row r="202" spans="1:8">
      <c r="A202" s="124" t="s">
        <v>74</v>
      </c>
      <c r="B202" s="126" t="s">
        <v>38</v>
      </c>
      <c r="C202" s="126"/>
      <c r="D202" s="126"/>
      <c r="E202" s="126"/>
      <c r="F202" s="147">
        <f>F203+F217</f>
        <v>18057.81178</v>
      </c>
      <c r="G202" s="147">
        <f>G203+G217</f>
        <v>17499.31178</v>
      </c>
      <c r="H202" s="203">
        <f t="shared" si="13"/>
        <v>96.907155712971999</v>
      </c>
    </row>
    <row r="203" spans="1:8">
      <c r="A203" s="148" t="s">
        <v>75</v>
      </c>
      <c r="B203" s="130" t="s">
        <v>38</v>
      </c>
      <c r="C203" s="181" t="s">
        <v>12</v>
      </c>
      <c r="D203" s="181"/>
      <c r="E203" s="181"/>
      <c r="F203" s="145">
        <f t="shared" ref="F203:G206" si="16">F204</f>
        <v>17295.68678</v>
      </c>
      <c r="G203" s="145">
        <f t="shared" si="16"/>
        <v>16737.18678</v>
      </c>
      <c r="H203" s="204">
        <f t="shared" ref="H203:H237" si="17">G203/F203*100</f>
        <v>96.770871217176378</v>
      </c>
    </row>
    <row r="204" spans="1:8" ht="25.5">
      <c r="A204" s="182" t="s">
        <v>316</v>
      </c>
      <c r="B204" s="184" t="s">
        <v>38</v>
      </c>
      <c r="C204" s="185" t="s">
        <v>12</v>
      </c>
      <c r="D204" s="185" t="s">
        <v>317</v>
      </c>
      <c r="E204" s="185"/>
      <c r="F204" s="174">
        <f t="shared" si="16"/>
        <v>17295.68678</v>
      </c>
      <c r="G204" s="174">
        <f t="shared" si="16"/>
        <v>16737.18678</v>
      </c>
      <c r="H204" s="197">
        <f t="shared" si="17"/>
        <v>96.770871217176378</v>
      </c>
    </row>
    <row r="205" spans="1:8" ht="25.5">
      <c r="A205" s="87" t="s">
        <v>318</v>
      </c>
      <c r="B205" s="133" t="s">
        <v>38</v>
      </c>
      <c r="C205" s="180" t="s">
        <v>12</v>
      </c>
      <c r="D205" s="180" t="s">
        <v>319</v>
      </c>
      <c r="E205" s="180"/>
      <c r="F205" s="137">
        <f t="shared" si="16"/>
        <v>17295.68678</v>
      </c>
      <c r="G205" s="137">
        <f t="shared" si="16"/>
        <v>16737.18678</v>
      </c>
      <c r="H205" s="197">
        <f t="shared" si="17"/>
        <v>96.770871217176378</v>
      </c>
    </row>
    <row r="206" spans="1:8" ht="25.5">
      <c r="A206" s="109" t="s">
        <v>287</v>
      </c>
      <c r="B206" s="133" t="s">
        <v>38</v>
      </c>
      <c r="C206" s="180" t="s">
        <v>12</v>
      </c>
      <c r="D206" s="180" t="s">
        <v>320</v>
      </c>
      <c r="E206" s="180"/>
      <c r="F206" s="137">
        <f t="shared" si="16"/>
        <v>17295.68678</v>
      </c>
      <c r="G206" s="137">
        <f t="shared" si="16"/>
        <v>16737.18678</v>
      </c>
      <c r="H206" s="197">
        <f t="shared" si="17"/>
        <v>96.770871217176378</v>
      </c>
    </row>
    <row r="207" spans="1:8">
      <c r="A207" s="109" t="s">
        <v>321</v>
      </c>
      <c r="B207" s="133" t="s">
        <v>38</v>
      </c>
      <c r="C207" s="180" t="s">
        <v>12</v>
      </c>
      <c r="D207" s="180" t="s">
        <v>322</v>
      </c>
      <c r="E207" s="180"/>
      <c r="F207" s="137">
        <f>F208+F212+F214</f>
        <v>17295.68678</v>
      </c>
      <c r="G207" s="137">
        <f>G208+G212+G214</f>
        <v>16737.18678</v>
      </c>
      <c r="H207" s="197">
        <f t="shared" si="17"/>
        <v>96.770871217176378</v>
      </c>
    </row>
    <row r="208" spans="1:8">
      <c r="A208" s="109" t="s">
        <v>76</v>
      </c>
      <c r="B208" s="133" t="s">
        <v>38</v>
      </c>
      <c r="C208" s="180" t="s">
        <v>12</v>
      </c>
      <c r="D208" s="180" t="s">
        <v>322</v>
      </c>
      <c r="E208" s="180" t="s">
        <v>77</v>
      </c>
      <c r="F208" s="137">
        <f>F209+F210+F211</f>
        <v>13984.65473</v>
      </c>
      <c r="G208" s="137">
        <f>G209+G210+G211</f>
        <v>13984.65473</v>
      </c>
      <c r="H208" s="197">
        <f t="shared" si="17"/>
        <v>100</v>
      </c>
    </row>
    <row r="209" spans="1:8">
      <c r="A209" s="109" t="s">
        <v>291</v>
      </c>
      <c r="B209" s="133" t="s">
        <v>38</v>
      </c>
      <c r="C209" s="180" t="s">
        <v>12</v>
      </c>
      <c r="D209" s="180" t="s">
        <v>322</v>
      </c>
      <c r="E209" s="133" t="s">
        <v>68</v>
      </c>
      <c r="F209" s="137">
        <f>(11650800-824859.62)/1000</f>
        <v>10825.94038</v>
      </c>
      <c r="G209" s="138">
        <f>10825940.38/1000</f>
        <v>10825.94038</v>
      </c>
      <c r="H209" s="197">
        <f t="shared" si="17"/>
        <v>100</v>
      </c>
    </row>
    <row r="210" spans="1:8" ht="25.5">
      <c r="A210" s="109" t="s">
        <v>292</v>
      </c>
      <c r="B210" s="133" t="s">
        <v>38</v>
      </c>
      <c r="C210" s="180" t="s">
        <v>12</v>
      </c>
      <c r="D210" s="180" t="s">
        <v>322</v>
      </c>
      <c r="E210" s="133" t="s">
        <v>98</v>
      </c>
      <c r="F210" s="137">
        <f>600/1000</f>
        <v>0.6</v>
      </c>
      <c r="G210" s="138">
        <f>600/1000</f>
        <v>0.6</v>
      </c>
      <c r="H210" s="197">
        <f t="shared" si="17"/>
        <v>100</v>
      </c>
    </row>
    <row r="211" spans="1:8" ht="38.25">
      <c r="A211" s="109" t="s">
        <v>293</v>
      </c>
      <c r="B211" s="133" t="s">
        <v>38</v>
      </c>
      <c r="C211" s="180" t="s">
        <v>12</v>
      </c>
      <c r="D211" s="180" t="s">
        <v>322</v>
      </c>
      <c r="E211" s="133" t="s">
        <v>294</v>
      </c>
      <c r="F211" s="137">
        <f>(3456100-297985.65)/1000</f>
        <v>3158.1143500000003</v>
      </c>
      <c r="G211" s="138">
        <f>3158114.35/1000</f>
        <v>3158.1143500000003</v>
      </c>
      <c r="H211" s="197">
        <f t="shared" si="17"/>
        <v>100</v>
      </c>
    </row>
    <row r="212" spans="1:8" ht="25.5">
      <c r="A212" s="108" t="s">
        <v>22</v>
      </c>
      <c r="B212" s="133" t="s">
        <v>38</v>
      </c>
      <c r="C212" s="180" t="s">
        <v>12</v>
      </c>
      <c r="D212" s="180" t="s">
        <v>322</v>
      </c>
      <c r="E212" s="133" t="s">
        <v>23</v>
      </c>
      <c r="F212" s="137">
        <f>F213</f>
        <v>3245.0560499999997</v>
      </c>
      <c r="G212" s="137">
        <f>G213</f>
        <v>2686.5560499999997</v>
      </c>
      <c r="H212" s="197">
        <f t="shared" si="17"/>
        <v>82.78920328664276</v>
      </c>
    </row>
    <row r="213" spans="1:8" ht="25.5">
      <c r="A213" s="108" t="s">
        <v>207</v>
      </c>
      <c r="B213" s="133" t="s">
        <v>38</v>
      </c>
      <c r="C213" s="180" t="s">
        <v>12</v>
      </c>
      <c r="D213" s="180" t="s">
        <v>322</v>
      </c>
      <c r="E213" s="133" t="s">
        <v>24</v>
      </c>
      <c r="F213" s="137">
        <f>(3454200-209143.95)/1000</f>
        <v>3245.0560499999997</v>
      </c>
      <c r="G213" s="138">
        <f>2686556.05/1000</f>
        <v>2686.5560499999997</v>
      </c>
      <c r="H213" s="197">
        <f t="shared" si="17"/>
        <v>82.78920328664276</v>
      </c>
    </row>
    <row r="214" spans="1:8">
      <c r="A214" s="108" t="s">
        <v>25</v>
      </c>
      <c r="B214" s="133" t="s">
        <v>38</v>
      </c>
      <c r="C214" s="180" t="s">
        <v>12</v>
      </c>
      <c r="D214" s="180" t="s">
        <v>322</v>
      </c>
      <c r="E214" s="141" t="s">
        <v>26</v>
      </c>
      <c r="F214" s="137">
        <f>F215+F216</f>
        <v>65.975999999999999</v>
      </c>
      <c r="G214" s="137">
        <f>G215+G216</f>
        <v>65.975999999999999</v>
      </c>
      <c r="H214" s="197">
        <f t="shared" si="17"/>
        <v>100</v>
      </c>
    </row>
    <row r="215" spans="1:8" ht="25.5">
      <c r="A215" s="108" t="s">
        <v>27</v>
      </c>
      <c r="B215" s="133" t="s">
        <v>38</v>
      </c>
      <c r="C215" s="180" t="s">
        <v>12</v>
      </c>
      <c r="D215" s="180" t="s">
        <v>322</v>
      </c>
      <c r="E215" s="141" t="s">
        <v>28</v>
      </c>
      <c r="F215" s="137">
        <f>42902/1000</f>
        <v>42.902000000000001</v>
      </c>
      <c r="G215" s="138">
        <f>42902/1000</f>
        <v>42.902000000000001</v>
      </c>
      <c r="H215" s="197">
        <f t="shared" si="17"/>
        <v>100</v>
      </c>
    </row>
    <row r="216" spans="1:8">
      <c r="A216" s="108" t="s">
        <v>295</v>
      </c>
      <c r="B216" s="133" t="s">
        <v>38</v>
      </c>
      <c r="C216" s="180" t="s">
        <v>12</v>
      </c>
      <c r="D216" s="180" t="s">
        <v>322</v>
      </c>
      <c r="E216" s="141" t="s">
        <v>29</v>
      </c>
      <c r="F216" s="137">
        <f>(22520.2+553.8)/1000</f>
        <v>23.074000000000002</v>
      </c>
      <c r="G216" s="138">
        <f>23074/1000</f>
        <v>23.074000000000002</v>
      </c>
      <c r="H216" s="197">
        <f t="shared" si="17"/>
        <v>100</v>
      </c>
    </row>
    <row r="217" spans="1:8">
      <c r="A217" s="217" t="s">
        <v>78</v>
      </c>
      <c r="B217" s="214" t="s">
        <v>38</v>
      </c>
      <c r="C217" s="215" t="s">
        <v>14</v>
      </c>
      <c r="D217" s="218"/>
      <c r="E217" s="218"/>
      <c r="F217" s="219">
        <f t="shared" ref="F217:G222" si="18">F218</f>
        <v>762.125</v>
      </c>
      <c r="G217" s="219">
        <f t="shared" si="18"/>
        <v>762.125</v>
      </c>
      <c r="H217" s="204">
        <f t="shared" si="17"/>
        <v>100</v>
      </c>
    </row>
    <row r="218" spans="1:8" ht="25.5">
      <c r="A218" s="182" t="s">
        <v>316</v>
      </c>
      <c r="B218" s="133" t="s">
        <v>38</v>
      </c>
      <c r="C218" s="180" t="s">
        <v>14</v>
      </c>
      <c r="D218" s="180" t="s">
        <v>317</v>
      </c>
      <c r="E218" s="180"/>
      <c r="F218" s="137">
        <f t="shared" si="18"/>
        <v>762.125</v>
      </c>
      <c r="G218" s="137">
        <f t="shared" si="18"/>
        <v>762.125</v>
      </c>
      <c r="H218" s="197">
        <f t="shared" si="17"/>
        <v>100</v>
      </c>
    </row>
    <row r="219" spans="1:8" ht="25.5">
      <c r="A219" s="87" t="s">
        <v>323</v>
      </c>
      <c r="B219" s="133" t="s">
        <v>38</v>
      </c>
      <c r="C219" s="180" t="s">
        <v>14</v>
      </c>
      <c r="D219" s="180" t="s">
        <v>324</v>
      </c>
      <c r="E219" s="180"/>
      <c r="F219" s="137">
        <f t="shared" si="18"/>
        <v>762.125</v>
      </c>
      <c r="G219" s="137">
        <f t="shared" si="18"/>
        <v>762.125</v>
      </c>
      <c r="H219" s="197">
        <f t="shared" si="17"/>
        <v>100</v>
      </c>
    </row>
    <row r="220" spans="1:8" ht="25.5">
      <c r="A220" s="109" t="s">
        <v>287</v>
      </c>
      <c r="B220" s="133" t="s">
        <v>38</v>
      </c>
      <c r="C220" s="180" t="s">
        <v>14</v>
      </c>
      <c r="D220" s="180" t="s">
        <v>325</v>
      </c>
      <c r="E220" s="180"/>
      <c r="F220" s="137">
        <f t="shared" si="18"/>
        <v>762.125</v>
      </c>
      <c r="G220" s="137">
        <f t="shared" si="18"/>
        <v>762.125</v>
      </c>
      <c r="H220" s="197">
        <f t="shared" si="17"/>
        <v>100</v>
      </c>
    </row>
    <row r="221" spans="1:8" ht="25.5">
      <c r="A221" s="109" t="s">
        <v>326</v>
      </c>
      <c r="B221" s="133" t="s">
        <v>38</v>
      </c>
      <c r="C221" s="180" t="s">
        <v>14</v>
      </c>
      <c r="D221" s="180" t="s">
        <v>327</v>
      </c>
      <c r="E221" s="180"/>
      <c r="F221" s="137">
        <f t="shared" si="18"/>
        <v>762.125</v>
      </c>
      <c r="G221" s="137">
        <f t="shared" si="18"/>
        <v>762.125</v>
      </c>
      <c r="H221" s="197">
        <f t="shared" si="17"/>
        <v>100</v>
      </c>
    </row>
    <row r="222" spans="1:8" ht="25.5">
      <c r="A222" s="108" t="s">
        <v>22</v>
      </c>
      <c r="B222" s="133" t="s">
        <v>38</v>
      </c>
      <c r="C222" s="180" t="s">
        <v>14</v>
      </c>
      <c r="D222" s="180" t="s">
        <v>327</v>
      </c>
      <c r="E222" s="180" t="s">
        <v>23</v>
      </c>
      <c r="F222" s="137">
        <f t="shared" si="18"/>
        <v>762.125</v>
      </c>
      <c r="G222" s="137">
        <f t="shared" si="18"/>
        <v>762.125</v>
      </c>
      <c r="H222" s="197">
        <f t="shared" si="17"/>
        <v>100</v>
      </c>
    </row>
    <row r="223" spans="1:8" ht="25.5">
      <c r="A223" s="108" t="s">
        <v>207</v>
      </c>
      <c r="B223" s="133" t="s">
        <v>38</v>
      </c>
      <c r="C223" s="180" t="s">
        <v>14</v>
      </c>
      <c r="D223" s="180" t="s">
        <v>327</v>
      </c>
      <c r="E223" s="133" t="s">
        <v>24</v>
      </c>
      <c r="F223" s="137">
        <f>762125/1000</f>
        <v>762.125</v>
      </c>
      <c r="G223" s="138">
        <f>762125/1000</f>
        <v>762.125</v>
      </c>
      <c r="H223" s="197">
        <f t="shared" si="17"/>
        <v>100</v>
      </c>
    </row>
    <row r="224" spans="1:8">
      <c r="A224" s="186" t="s">
        <v>79</v>
      </c>
      <c r="B224" s="188" t="s">
        <v>55</v>
      </c>
      <c r="C224" s="188"/>
      <c r="D224" s="188"/>
      <c r="E224" s="188"/>
      <c r="F224" s="189">
        <f>F225</f>
        <v>5690.5468299999993</v>
      </c>
      <c r="G224" s="189">
        <f>G225</f>
        <v>5690.5468299999993</v>
      </c>
      <c r="H224" s="203">
        <f t="shared" si="17"/>
        <v>100</v>
      </c>
    </row>
    <row r="225" spans="1:8">
      <c r="A225" s="217" t="s">
        <v>80</v>
      </c>
      <c r="B225" s="218" t="s">
        <v>55</v>
      </c>
      <c r="C225" s="218" t="s">
        <v>14</v>
      </c>
      <c r="D225" s="218"/>
      <c r="E225" s="218"/>
      <c r="F225" s="219">
        <f>F226</f>
        <v>5690.5468299999993</v>
      </c>
      <c r="G225" s="219">
        <f>G226</f>
        <v>5690.5468299999993</v>
      </c>
      <c r="H225" s="204">
        <f t="shared" si="17"/>
        <v>100</v>
      </c>
    </row>
    <row r="226" spans="1:8" ht="25.5">
      <c r="A226" s="117" t="s">
        <v>81</v>
      </c>
      <c r="B226" s="141" t="s">
        <v>55</v>
      </c>
      <c r="C226" s="141" t="s">
        <v>14</v>
      </c>
      <c r="D226" s="29" t="s">
        <v>328</v>
      </c>
      <c r="E226" s="29"/>
      <c r="F226" s="139">
        <f>F227+F238</f>
        <v>5690.5468299999993</v>
      </c>
      <c r="G226" s="139">
        <f>G227+G238</f>
        <v>5690.5468299999993</v>
      </c>
      <c r="H226" s="197">
        <f t="shared" si="17"/>
        <v>100</v>
      </c>
    </row>
    <row r="227" spans="1:8">
      <c r="A227" s="117" t="s">
        <v>329</v>
      </c>
      <c r="B227" s="141" t="s">
        <v>55</v>
      </c>
      <c r="C227" s="141" t="s">
        <v>14</v>
      </c>
      <c r="D227" s="29" t="s">
        <v>330</v>
      </c>
      <c r="E227" s="29"/>
      <c r="F227" s="139">
        <f>F228</f>
        <v>5690.5468299999993</v>
      </c>
      <c r="G227" s="139">
        <f>G228</f>
        <v>5690.5468299999993</v>
      </c>
      <c r="H227" s="197">
        <f t="shared" si="17"/>
        <v>100</v>
      </c>
    </row>
    <row r="228" spans="1:8" ht="25.5">
      <c r="A228" s="109" t="s">
        <v>287</v>
      </c>
      <c r="B228" s="141" t="s">
        <v>55</v>
      </c>
      <c r="C228" s="141" t="s">
        <v>14</v>
      </c>
      <c r="D228" s="29" t="s">
        <v>331</v>
      </c>
      <c r="E228" s="29"/>
      <c r="F228" s="139">
        <f>F229</f>
        <v>5690.5468299999993</v>
      </c>
      <c r="G228" s="139">
        <f>G229</f>
        <v>5690.5468299999993</v>
      </c>
      <c r="H228" s="197">
        <f t="shared" si="17"/>
        <v>100</v>
      </c>
    </row>
    <row r="229" spans="1:8">
      <c r="A229" s="117" t="s">
        <v>332</v>
      </c>
      <c r="B229" s="141" t="s">
        <v>55</v>
      </c>
      <c r="C229" s="141" t="s">
        <v>14</v>
      </c>
      <c r="D229" s="29" t="s">
        <v>333</v>
      </c>
      <c r="E229" s="29"/>
      <c r="F229" s="139">
        <f>F230+F233+F235</f>
        <v>5690.5468299999993</v>
      </c>
      <c r="G229" s="139">
        <f>G230+G233+G235</f>
        <v>5690.5468299999993</v>
      </c>
      <c r="H229" s="197">
        <f t="shared" si="17"/>
        <v>100</v>
      </c>
    </row>
    <row r="230" spans="1:8">
      <c r="A230" s="109" t="s">
        <v>76</v>
      </c>
      <c r="B230" s="141" t="s">
        <v>55</v>
      </c>
      <c r="C230" s="141" t="s">
        <v>14</v>
      </c>
      <c r="D230" s="29" t="s">
        <v>333</v>
      </c>
      <c r="E230" s="29" t="s">
        <v>77</v>
      </c>
      <c r="F230" s="139">
        <f>F231+F232</f>
        <v>4344.4297900000001</v>
      </c>
      <c r="G230" s="139">
        <f>G231+G232</f>
        <v>4344.4297900000001</v>
      </c>
      <c r="H230" s="197">
        <f t="shared" si="17"/>
        <v>100</v>
      </c>
    </row>
    <row r="231" spans="1:8">
      <c r="A231" s="109" t="s">
        <v>291</v>
      </c>
      <c r="B231" s="141" t="s">
        <v>55</v>
      </c>
      <c r="C231" s="141" t="s">
        <v>14</v>
      </c>
      <c r="D231" s="29" t="s">
        <v>333</v>
      </c>
      <c r="E231" s="133" t="s">
        <v>68</v>
      </c>
      <c r="F231" s="139">
        <f>(3435300-126520.85)/1000</f>
        <v>3308.7791499999998</v>
      </c>
      <c r="G231" s="138">
        <f>3308779.15/1000</f>
        <v>3308.7791499999998</v>
      </c>
      <c r="H231" s="197">
        <f t="shared" si="17"/>
        <v>100</v>
      </c>
    </row>
    <row r="232" spans="1:8" ht="38.25">
      <c r="A232" s="109" t="s">
        <v>293</v>
      </c>
      <c r="B232" s="141" t="s">
        <v>55</v>
      </c>
      <c r="C232" s="141" t="s">
        <v>14</v>
      </c>
      <c r="D232" s="29" t="s">
        <v>333</v>
      </c>
      <c r="E232" s="133" t="s">
        <v>294</v>
      </c>
      <c r="F232" s="139">
        <f>(1339000-303349.36)/1000</f>
        <v>1035.6506400000001</v>
      </c>
      <c r="G232" s="138">
        <f>1035650.64/1000</f>
        <v>1035.6506400000001</v>
      </c>
      <c r="H232" s="197">
        <f t="shared" si="17"/>
        <v>100</v>
      </c>
    </row>
    <row r="233" spans="1:8" ht="25.5">
      <c r="A233" s="108" t="s">
        <v>22</v>
      </c>
      <c r="B233" s="141" t="s">
        <v>55</v>
      </c>
      <c r="C233" s="141" t="s">
        <v>14</v>
      </c>
      <c r="D233" s="29" t="s">
        <v>333</v>
      </c>
      <c r="E233" s="133" t="s">
        <v>23</v>
      </c>
      <c r="F233" s="139">
        <f>F234</f>
        <v>1340.748</v>
      </c>
      <c r="G233" s="139">
        <f>G234</f>
        <v>1340.748</v>
      </c>
      <c r="H233" s="197">
        <f t="shared" si="17"/>
        <v>100</v>
      </c>
    </row>
    <row r="234" spans="1:8" ht="25.5">
      <c r="A234" s="108" t="s">
        <v>207</v>
      </c>
      <c r="B234" s="141" t="s">
        <v>55</v>
      </c>
      <c r="C234" s="141" t="s">
        <v>14</v>
      </c>
      <c r="D234" s="29" t="s">
        <v>333</v>
      </c>
      <c r="E234" s="133" t="s">
        <v>24</v>
      </c>
      <c r="F234" s="139">
        <f>(1342200-1452)/1000</f>
        <v>1340.748</v>
      </c>
      <c r="G234" s="138">
        <f>1340748/1000</f>
        <v>1340.748</v>
      </c>
      <c r="H234" s="197">
        <f t="shared" si="17"/>
        <v>100</v>
      </c>
    </row>
    <row r="235" spans="1:8">
      <c r="A235" s="108" t="s">
        <v>25</v>
      </c>
      <c r="B235" s="141" t="s">
        <v>55</v>
      </c>
      <c r="C235" s="141" t="s">
        <v>14</v>
      </c>
      <c r="D235" s="29" t="s">
        <v>333</v>
      </c>
      <c r="E235" s="133" t="s">
        <v>26</v>
      </c>
      <c r="F235" s="139">
        <f>F236+F237</f>
        <v>5.36904</v>
      </c>
      <c r="G235" s="139">
        <f>G236+G237</f>
        <v>5.36904</v>
      </c>
      <c r="H235" s="197">
        <f t="shared" si="17"/>
        <v>100</v>
      </c>
    </row>
    <row r="236" spans="1:8" ht="25.5">
      <c r="A236" s="108" t="s">
        <v>27</v>
      </c>
      <c r="B236" s="141" t="s">
        <v>55</v>
      </c>
      <c r="C236" s="141" t="s">
        <v>14</v>
      </c>
      <c r="D236" s="29" t="s">
        <v>333</v>
      </c>
      <c r="E236" s="141" t="s">
        <v>28</v>
      </c>
      <c r="F236" s="139">
        <f>1139/1000</f>
        <v>1.139</v>
      </c>
      <c r="G236" s="138">
        <f>1139/1000</f>
        <v>1.139</v>
      </c>
      <c r="H236" s="197">
        <f t="shared" si="17"/>
        <v>100</v>
      </c>
    </row>
    <row r="237" spans="1:8">
      <c r="A237" s="108" t="s">
        <v>295</v>
      </c>
      <c r="B237" s="141" t="s">
        <v>55</v>
      </c>
      <c r="C237" s="141" t="s">
        <v>14</v>
      </c>
      <c r="D237" s="29" t="s">
        <v>333</v>
      </c>
      <c r="E237" s="141" t="s">
        <v>29</v>
      </c>
      <c r="F237" s="139">
        <f>4230.04/1000</f>
        <v>4.2300399999999998</v>
      </c>
      <c r="G237" s="138">
        <f>4230.04/1000</f>
        <v>4.2300399999999998</v>
      </c>
      <c r="H237" s="197">
        <f t="shared" si="17"/>
        <v>100</v>
      </c>
    </row>
  </sheetData>
  <mergeCells count="6">
    <mergeCell ref="F8:H8"/>
    <mergeCell ref="A1:H1"/>
    <mergeCell ref="A2:H2"/>
    <mergeCell ref="A3:H3"/>
    <mergeCell ref="A4:H4"/>
    <mergeCell ref="A6:H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="60" workbookViewId="0">
      <selection activeCell="G9" sqref="G9"/>
    </sheetView>
  </sheetViews>
  <sheetFormatPr defaultRowHeight="15"/>
  <cols>
    <col min="1" max="1" width="4.85546875" customWidth="1"/>
    <col min="2" max="2" width="44" customWidth="1"/>
    <col min="3" max="3" width="12.85546875" customWidth="1"/>
    <col min="7" max="7" width="11.7109375" customWidth="1"/>
    <col min="8" max="8" width="10" customWidth="1"/>
    <col min="9" max="9" width="11.140625" customWidth="1"/>
    <col min="10" max="10" width="0.140625" customWidth="1"/>
  </cols>
  <sheetData>
    <row r="1" spans="1:10">
      <c r="A1" s="16"/>
      <c r="B1" s="17"/>
      <c r="C1" s="305" t="s">
        <v>86</v>
      </c>
      <c r="D1" s="305"/>
      <c r="E1" s="305"/>
      <c r="F1" s="305"/>
      <c r="G1" s="305"/>
      <c r="H1" s="305"/>
      <c r="I1" s="305"/>
      <c r="J1" s="305"/>
    </row>
    <row r="2" spans="1:10">
      <c r="A2" s="16"/>
      <c r="B2" s="17"/>
      <c r="C2" s="305" t="s">
        <v>359</v>
      </c>
      <c r="D2" s="305"/>
      <c r="E2" s="305"/>
      <c r="F2" s="305"/>
      <c r="G2" s="305"/>
      <c r="H2" s="305"/>
      <c r="I2" s="305"/>
      <c r="J2" s="305"/>
    </row>
    <row r="3" spans="1:10">
      <c r="A3" s="16"/>
      <c r="B3" s="17"/>
      <c r="C3" s="305" t="s">
        <v>360</v>
      </c>
      <c r="D3" s="305"/>
      <c r="E3" s="305"/>
      <c r="F3" s="305"/>
      <c r="G3" s="305"/>
      <c r="H3" s="305"/>
      <c r="I3" s="305"/>
      <c r="J3" s="305"/>
    </row>
    <row r="4" spans="1:10">
      <c r="A4" s="18"/>
      <c r="B4" s="17"/>
      <c r="C4" s="306" t="s">
        <v>198</v>
      </c>
      <c r="D4" s="306"/>
      <c r="E4" s="306"/>
      <c r="F4" s="306"/>
      <c r="G4" s="306"/>
      <c r="H4" s="306"/>
      <c r="I4" s="306"/>
      <c r="J4" s="306"/>
    </row>
    <row r="5" spans="1:10">
      <c r="A5" s="18"/>
      <c r="B5" s="19"/>
      <c r="C5" s="20"/>
      <c r="D5" s="20"/>
      <c r="E5" s="20"/>
      <c r="F5" s="20"/>
      <c r="G5" s="20"/>
      <c r="H5" s="21"/>
      <c r="I5" s="22"/>
      <c r="J5" s="23"/>
    </row>
    <row r="6" spans="1:10" ht="22.5" customHeight="1">
      <c r="A6" s="307" t="s">
        <v>341</v>
      </c>
      <c r="B6" s="307"/>
      <c r="C6" s="307"/>
      <c r="D6" s="307"/>
      <c r="E6" s="307"/>
      <c r="F6" s="307"/>
      <c r="G6" s="307"/>
      <c r="H6" s="307"/>
      <c r="I6" s="307"/>
      <c r="J6" s="307"/>
    </row>
    <row r="7" spans="1:10">
      <c r="A7" s="24"/>
      <c r="B7" s="25"/>
      <c r="C7" s="26"/>
      <c r="D7" s="26"/>
      <c r="E7" s="26"/>
      <c r="F7" s="26"/>
      <c r="G7" s="26"/>
      <c r="H7" s="27"/>
      <c r="I7" s="28"/>
      <c r="J7" s="23"/>
    </row>
    <row r="8" spans="1:10" ht="25.5">
      <c r="A8" s="242" t="s">
        <v>87</v>
      </c>
      <c r="B8" s="242" t="s">
        <v>88</v>
      </c>
      <c r="C8" s="243" t="s">
        <v>5</v>
      </c>
      <c r="D8" s="243" t="s">
        <v>3</v>
      </c>
      <c r="E8" s="243" t="s">
        <v>4</v>
      </c>
      <c r="F8" s="243" t="s">
        <v>6</v>
      </c>
      <c r="G8" s="198" t="s">
        <v>7</v>
      </c>
      <c r="H8" s="198" t="s">
        <v>8</v>
      </c>
      <c r="I8" s="280" t="s">
        <v>9</v>
      </c>
    </row>
    <row r="9" spans="1:10">
      <c r="A9" s="242">
        <v>1</v>
      </c>
      <c r="B9" s="242">
        <v>2</v>
      </c>
      <c r="C9" s="243" t="s">
        <v>89</v>
      </c>
      <c r="D9" s="243" t="s">
        <v>90</v>
      </c>
      <c r="E9" s="243" t="s">
        <v>91</v>
      </c>
      <c r="F9" s="243" t="s">
        <v>92</v>
      </c>
      <c r="G9" s="244">
        <v>7</v>
      </c>
      <c r="H9" s="243" t="s">
        <v>351</v>
      </c>
      <c r="I9" s="243" t="s">
        <v>352</v>
      </c>
    </row>
    <row r="10" spans="1:10">
      <c r="A10" s="242"/>
      <c r="B10" s="245" t="s">
        <v>93</v>
      </c>
      <c r="C10" s="243"/>
      <c r="D10" s="243"/>
      <c r="E10" s="243"/>
      <c r="F10" s="243"/>
      <c r="G10" s="246">
        <f>G11+G14+G21+G56+G63+G92+G114+G128+G140+G151+G154</f>
        <v>97379.21583999999</v>
      </c>
      <c r="H10" s="247">
        <f>H11+H14+H21+H56+H63+H92+H114+H128+H140+H151+H154</f>
        <v>94345.004430000001</v>
      </c>
      <c r="I10" s="248">
        <f>H10/G10*100</f>
        <v>96.884128318526024</v>
      </c>
    </row>
    <row r="11" spans="1:10">
      <c r="A11" s="249" t="s">
        <v>342</v>
      </c>
      <c r="B11" s="250" t="s">
        <v>343</v>
      </c>
      <c r="C11" s="251" t="s">
        <v>210</v>
      </c>
      <c r="D11" s="252"/>
      <c r="E11" s="253"/>
      <c r="F11" s="252"/>
      <c r="G11" s="254">
        <f>G12</f>
        <v>103.31267</v>
      </c>
      <c r="H11" s="254">
        <f>H12</f>
        <v>103.31267</v>
      </c>
      <c r="I11" s="248">
        <f t="shared" ref="I11:I74" si="0">H11/G11*100</f>
        <v>100</v>
      </c>
    </row>
    <row r="12" spans="1:10" ht="38.25">
      <c r="A12" s="255"/>
      <c r="B12" s="116" t="s">
        <v>22</v>
      </c>
      <c r="C12" s="177" t="s">
        <v>211</v>
      </c>
      <c r="D12" s="115" t="s">
        <v>12</v>
      </c>
      <c r="E12" s="177" t="s">
        <v>20</v>
      </c>
      <c r="F12" s="115" t="s">
        <v>23</v>
      </c>
      <c r="G12" s="256">
        <f>G13</f>
        <v>103.31267</v>
      </c>
      <c r="H12" s="256">
        <f>H13</f>
        <v>103.31267</v>
      </c>
      <c r="I12" s="248">
        <f t="shared" si="0"/>
        <v>100</v>
      </c>
    </row>
    <row r="13" spans="1:10" ht="38.25">
      <c r="A13" s="255"/>
      <c r="B13" s="116" t="s">
        <v>207</v>
      </c>
      <c r="C13" s="177" t="s">
        <v>211</v>
      </c>
      <c r="D13" s="115" t="s">
        <v>12</v>
      </c>
      <c r="E13" s="177" t="s">
        <v>20</v>
      </c>
      <c r="F13" s="115" t="s">
        <v>24</v>
      </c>
      <c r="G13" s="256">
        <f>103312.67/1000</f>
        <v>103.31267</v>
      </c>
      <c r="H13" s="257">
        <f>103312.67/1000</f>
        <v>103.31267</v>
      </c>
      <c r="I13" s="248">
        <f t="shared" si="0"/>
        <v>100</v>
      </c>
    </row>
    <row r="14" spans="1:10" ht="63.75">
      <c r="A14" s="242">
        <v>2</v>
      </c>
      <c r="B14" s="258" t="s">
        <v>233</v>
      </c>
      <c r="C14" s="243" t="s">
        <v>234</v>
      </c>
      <c r="D14" s="243"/>
      <c r="E14" s="243"/>
      <c r="F14" s="243"/>
      <c r="G14" s="259">
        <f t="shared" ref="G14:H19" si="1">G15</f>
        <v>1469.91074</v>
      </c>
      <c r="H14" s="260">
        <f t="shared" si="1"/>
        <v>1279.1990800000001</v>
      </c>
      <c r="I14" s="248">
        <f t="shared" si="0"/>
        <v>87.025629869198724</v>
      </c>
    </row>
    <row r="15" spans="1:10" ht="38.25">
      <c r="A15" s="242"/>
      <c r="B15" s="98" t="s">
        <v>235</v>
      </c>
      <c r="C15" s="238" t="s">
        <v>236</v>
      </c>
      <c r="D15" s="238"/>
      <c r="E15" s="238"/>
      <c r="F15" s="238"/>
      <c r="G15" s="239">
        <f t="shared" si="1"/>
        <v>1469.91074</v>
      </c>
      <c r="H15" s="240">
        <f t="shared" si="1"/>
        <v>1279.1990800000001</v>
      </c>
      <c r="I15" s="248">
        <f t="shared" si="0"/>
        <v>87.025629869198724</v>
      </c>
    </row>
    <row r="16" spans="1:10">
      <c r="A16" s="242"/>
      <c r="B16" s="261" t="s">
        <v>237</v>
      </c>
      <c r="C16" s="238" t="s">
        <v>238</v>
      </c>
      <c r="D16" s="238"/>
      <c r="E16" s="238"/>
      <c r="F16" s="238"/>
      <c r="G16" s="239">
        <f t="shared" si="1"/>
        <v>1469.91074</v>
      </c>
      <c r="H16" s="240">
        <f t="shared" si="1"/>
        <v>1279.1990800000001</v>
      </c>
      <c r="I16" s="248">
        <f t="shared" si="0"/>
        <v>87.025629869198724</v>
      </c>
    </row>
    <row r="17" spans="1:9" ht="25.5">
      <c r="A17" s="242"/>
      <c r="B17" s="262" t="s">
        <v>94</v>
      </c>
      <c r="C17" s="238" t="s">
        <v>238</v>
      </c>
      <c r="D17" s="238" t="s">
        <v>46</v>
      </c>
      <c r="E17" s="238"/>
      <c r="F17" s="238"/>
      <c r="G17" s="239">
        <f t="shared" si="1"/>
        <v>1469.91074</v>
      </c>
      <c r="H17" s="240">
        <f t="shared" si="1"/>
        <v>1279.1990800000001</v>
      </c>
      <c r="I17" s="248">
        <f t="shared" si="0"/>
        <v>87.025629869198724</v>
      </c>
    </row>
    <row r="18" spans="1:9" ht="38.25">
      <c r="A18" s="242"/>
      <c r="B18" s="175" t="s">
        <v>232</v>
      </c>
      <c r="C18" s="238" t="s">
        <v>238</v>
      </c>
      <c r="D18" s="238" t="s">
        <v>46</v>
      </c>
      <c r="E18" s="238" t="s">
        <v>51</v>
      </c>
      <c r="F18" s="238"/>
      <c r="G18" s="239">
        <f t="shared" si="1"/>
        <v>1469.91074</v>
      </c>
      <c r="H18" s="240">
        <f t="shared" si="1"/>
        <v>1279.1990800000001</v>
      </c>
      <c r="I18" s="248">
        <f t="shared" si="0"/>
        <v>87.025629869198724</v>
      </c>
    </row>
    <row r="19" spans="1:9" ht="38.25">
      <c r="A19" s="242"/>
      <c r="B19" s="116" t="s">
        <v>22</v>
      </c>
      <c r="C19" s="238" t="s">
        <v>238</v>
      </c>
      <c r="D19" s="238" t="s">
        <v>46</v>
      </c>
      <c r="E19" s="238" t="s">
        <v>51</v>
      </c>
      <c r="F19" s="238" t="s">
        <v>23</v>
      </c>
      <c r="G19" s="239">
        <f t="shared" si="1"/>
        <v>1469.91074</v>
      </c>
      <c r="H19" s="240">
        <f t="shared" si="1"/>
        <v>1279.1990800000001</v>
      </c>
      <c r="I19" s="248">
        <f t="shared" si="0"/>
        <v>87.025629869198724</v>
      </c>
    </row>
    <row r="20" spans="1:9" ht="38.25">
      <c r="A20" s="242"/>
      <c r="B20" s="116" t="s">
        <v>207</v>
      </c>
      <c r="C20" s="238" t="s">
        <v>238</v>
      </c>
      <c r="D20" s="238" t="s">
        <v>46</v>
      </c>
      <c r="E20" s="238" t="s">
        <v>51</v>
      </c>
      <c r="F20" s="238" t="s">
        <v>24</v>
      </c>
      <c r="G20" s="239">
        <f>1469910.74/1000</f>
        <v>1469.91074</v>
      </c>
      <c r="H20" s="257">
        <f>1279199.08/1000</f>
        <v>1279.1990800000001</v>
      </c>
      <c r="I20" s="248">
        <f t="shared" si="0"/>
        <v>87.025629869198724</v>
      </c>
    </row>
    <row r="21" spans="1:9" ht="25.5">
      <c r="A21" s="242">
        <v>3</v>
      </c>
      <c r="B21" s="241" t="s">
        <v>344</v>
      </c>
      <c r="C21" s="263" t="s">
        <v>284</v>
      </c>
      <c r="D21" s="249"/>
      <c r="E21" s="249"/>
      <c r="F21" s="249"/>
      <c r="G21" s="264">
        <f>G22+G49</f>
        <v>40264.849949999996</v>
      </c>
      <c r="H21" s="260">
        <f>H22+H49</f>
        <v>38514.550199999998</v>
      </c>
      <c r="I21" s="248">
        <f t="shared" si="0"/>
        <v>95.653032974980704</v>
      </c>
    </row>
    <row r="22" spans="1:9">
      <c r="A22" s="265"/>
      <c r="B22" s="116" t="s">
        <v>345</v>
      </c>
      <c r="C22" s="237" t="s">
        <v>286</v>
      </c>
      <c r="D22" s="238"/>
      <c r="E22" s="238"/>
      <c r="F22" s="238"/>
      <c r="G22" s="239">
        <f>G23+G36</f>
        <v>38290.890489999998</v>
      </c>
      <c r="H22" s="240">
        <f>H23+H36</f>
        <v>36540.59074</v>
      </c>
      <c r="I22" s="248">
        <f t="shared" si="0"/>
        <v>95.428939552980353</v>
      </c>
    </row>
    <row r="23" spans="1:9" ht="25.5">
      <c r="A23" s="265"/>
      <c r="B23" s="175" t="s">
        <v>287</v>
      </c>
      <c r="C23" s="237" t="s">
        <v>288</v>
      </c>
      <c r="D23" s="238"/>
      <c r="E23" s="238"/>
      <c r="F23" s="238"/>
      <c r="G23" s="239">
        <f t="shared" ref="G23:H25" si="2">G24</f>
        <v>36319.890489999998</v>
      </c>
      <c r="H23" s="240">
        <f t="shared" si="2"/>
        <v>34569.59074</v>
      </c>
      <c r="I23" s="248">
        <f t="shared" si="0"/>
        <v>95.180878228468472</v>
      </c>
    </row>
    <row r="24" spans="1:9">
      <c r="A24" s="265"/>
      <c r="B24" s="175" t="s">
        <v>289</v>
      </c>
      <c r="C24" s="237" t="s">
        <v>290</v>
      </c>
      <c r="D24" s="238"/>
      <c r="E24" s="238"/>
      <c r="F24" s="238"/>
      <c r="G24" s="239">
        <f t="shared" si="2"/>
        <v>36319.890489999998</v>
      </c>
      <c r="H24" s="240">
        <f t="shared" si="2"/>
        <v>34569.59074</v>
      </c>
      <c r="I24" s="248">
        <f t="shared" si="0"/>
        <v>95.180878228468472</v>
      </c>
    </row>
    <row r="25" spans="1:9">
      <c r="A25" s="265"/>
      <c r="B25" s="116" t="s">
        <v>95</v>
      </c>
      <c r="C25" s="237" t="s">
        <v>290</v>
      </c>
      <c r="D25" s="238" t="s">
        <v>66</v>
      </c>
      <c r="E25" s="238"/>
      <c r="F25" s="238"/>
      <c r="G25" s="239">
        <f t="shared" si="2"/>
        <v>36319.890489999998</v>
      </c>
      <c r="H25" s="240">
        <f t="shared" si="2"/>
        <v>34569.59074</v>
      </c>
      <c r="I25" s="248">
        <f t="shared" si="0"/>
        <v>95.180878228468472</v>
      </c>
    </row>
    <row r="26" spans="1:9">
      <c r="A26" s="265"/>
      <c r="B26" s="116" t="s">
        <v>67</v>
      </c>
      <c r="C26" s="237" t="s">
        <v>290</v>
      </c>
      <c r="D26" s="238" t="s">
        <v>66</v>
      </c>
      <c r="E26" s="238" t="s">
        <v>12</v>
      </c>
      <c r="F26" s="238"/>
      <c r="G26" s="239">
        <f>G27+G31+G33</f>
        <v>36319.890489999998</v>
      </c>
      <c r="H26" s="240">
        <f>H27+H31+H33</f>
        <v>34569.59074</v>
      </c>
      <c r="I26" s="248">
        <f t="shared" si="0"/>
        <v>95.180878228468472</v>
      </c>
    </row>
    <row r="27" spans="1:9" ht="25.5">
      <c r="A27" s="265"/>
      <c r="B27" s="175" t="s">
        <v>76</v>
      </c>
      <c r="C27" s="237" t="s">
        <v>290</v>
      </c>
      <c r="D27" s="238" t="s">
        <v>66</v>
      </c>
      <c r="E27" s="238" t="s">
        <v>12</v>
      </c>
      <c r="F27" s="238" t="s">
        <v>77</v>
      </c>
      <c r="G27" s="239">
        <f>G28+G29+G30</f>
        <v>25788.844819999998</v>
      </c>
      <c r="H27" s="240">
        <f>H28+H29+H30</f>
        <v>25788.794819999999</v>
      </c>
      <c r="I27" s="248">
        <f t="shared" si="0"/>
        <v>99.999806117721263</v>
      </c>
    </row>
    <row r="28" spans="1:9">
      <c r="A28" s="265"/>
      <c r="B28" s="175" t="s">
        <v>291</v>
      </c>
      <c r="C28" s="237" t="s">
        <v>290</v>
      </c>
      <c r="D28" s="238" t="s">
        <v>66</v>
      </c>
      <c r="E28" s="238" t="s">
        <v>12</v>
      </c>
      <c r="F28" s="238" t="s">
        <v>68</v>
      </c>
      <c r="G28" s="239">
        <f>(21107597-1099835.49)/1000</f>
        <v>20007.76151</v>
      </c>
      <c r="H28" s="257">
        <f>20007761.51/1000</f>
        <v>20007.76151</v>
      </c>
      <c r="I28" s="248">
        <f t="shared" si="0"/>
        <v>100</v>
      </c>
    </row>
    <row r="29" spans="1:9" ht="25.5">
      <c r="A29" s="265"/>
      <c r="B29" s="175" t="s">
        <v>292</v>
      </c>
      <c r="C29" s="237" t="s">
        <v>290</v>
      </c>
      <c r="D29" s="238" t="s">
        <v>66</v>
      </c>
      <c r="E29" s="238" t="s">
        <v>12</v>
      </c>
      <c r="F29" s="238" t="s">
        <v>98</v>
      </c>
      <c r="G29" s="239">
        <f>50/1000</f>
        <v>0.05</v>
      </c>
      <c r="H29" s="257">
        <v>0</v>
      </c>
      <c r="I29" s="248">
        <f t="shared" si="0"/>
        <v>0</v>
      </c>
    </row>
    <row r="30" spans="1:9" ht="51">
      <c r="A30" s="265"/>
      <c r="B30" s="175" t="s">
        <v>293</v>
      </c>
      <c r="C30" s="237" t="s">
        <v>290</v>
      </c>
      <c r="D30" s="238" t="s">
        <v>66</v>
      </c>
      <c r="E30" s="238" t="s">
        <v>12</v>
      </c>
      <c r="F30" s="238" t="s">
        <v>294</v>
      </c>
      <c r="G30" s="239">
        <f>(6209020-427986.69)/1000</f>
        <v>5781.0333099999998</v>
      </c>
      <c r="H30" s="257">
        <f>5781033.31/1000</f>
        <v>5781.0333099999998</v>
      </c>
      <c r="I30" s="248">
        <f t="shared" si="0"/>
        <v>100</v>
      </c>
    </row>
    <row r="31" spans="1:9" ht="38.25">
      <c r="A31" s="265"/>
      <c r="B31" s="116" t="s">
        <v>22</v>
      </c>
      <c r="C31" s="237" t="s">
        <v>290</v>
      </c>
      <c r="D31" s="238" t="s">
        <v>66</v>
      </c>
      <c r="E31" s="238" t="s">
        <v>12</v>
      </c>
      <c r="F31" s="238" t="s">
        <v>23</v>
      </c>
      <c r="G31" s="239">
        <f>G32</f>
        <v>10338.661749999999</v>
      </c>
      <c r="H31" s="240">
        <f>H32</f>
        <v>8588.4120000000003</v>
      </c>
      <c r="I31" s="248">
        <f t="shared" si="0"/>
        <v>83.07082877530064</v>
      </c>
    </row>
    <row r="32" spans="1:9" ht="38.25">
      <c r="A32" s="265"/>
      <c r="B32" s="116" t="s">
        <v>207</v>
      </c>
      <c r="C32" s="237" t="s">
        <v>290</v>
      </c>
      <c r="D32" s="238" t="s">
        <v>66</v>
      </c>
      <c r="E32" s="238" t="s">
        <v>12</v>
      </c>
      <c r="F32" s="238" t="s">
        <v>24</v>
      </c>
      <c r="G32" s="239">
        <f>(9573600-31304.7+796366.45)/1000</f>
        <v>10338.661749999999</v>
      </c>
      <c r="H32" s="257">
        <f>8588412/1000</f>
        <v>8588.4120000000003</v>
      </c>
      <c r="I32" s="248">
        <f t="shared" si="0"/>
        <v>83.07082877530064</v>
      </c>
    </row>
    <row r="33" spans="1:9">
      <c r="A33" s="265"/>
      <c r="B33" s="116" t="s">
        <v>25</v>
      </c>
      <c r="C33" s="237" t="s">
        <v>290</v>
      </c>
      <c r="D33" s="238" t="s">
        <v>66</v>
      </c>
      <c r="E33" s="238" t="s">
        <v>12</v>
      </c>
      <c r="F33" s="238" t="s">
        <v>26</v>
      </c>
      <c r="G33" s="239">
        <f>G34+G35</f>
        <v>192.38392000000002</v>
      </c>
      <c r="H33" s="240">
        <f>H34+H35</f>
        <v>192.38392000000002</v>
      </c>
      <c r="I33" s="248">
        <f t="shared" si="0"/>
        <v>100</v>
      </c>
    </row>
    <row r="34" spans="1:9" ht="25.5">
      <c r="A34" s="265"/>
      <c r="B34" s="116" t="s">
        <v>27</v>
      </c>
      <c r="C34" s="237" t="s">
        <v>290</v>
      </c>
      <c r="D34" s="238" t="s">
        <v>66</v>
      </c>
      <c r="E34" s="238" t="s">
        <v>12</v>
      </c>
      <c r="F34" s="238" t="s">
        <v>28</v>
      </c>
      <c r="G34" s="239">
        <f>7897/1000</f>
        <v>7.8970000000000002</v>
      </c>
      <c r="H34" s="257">
        <f>7897/1000</f>
        <v>7.8970000000000002</v>
      </c>
      <c r="I34" s="248">
        <f t="shared" si="0"/>
        <v>100</v>
      </c>
    </row>
    <row r="35" spans="1:9">
      <c r="A35" s="265"/>
      <c r="B35" s="116" t="s">
        <v>295</v>
      </c>
      <c r="C35" s="237" t="s">
        <v>290</v>
      </c>
      <c r="D35" s="238" t="s">
        <v>66</v>
      </c>
      <c r="E35" s="238" t="s">
        <v>12</v>
      </c>
      <c r="F35" s="238" t="s">
        <v>29</v>
      </c>
      <c r="G35" s="239">
        <f>(200000-15513.08)/1000</f>
        <v>184.48692000000003</v>
      </c>
      <c r="H35" s="257">
        <f>184486.92/1000</f>
        <v>184.48692000000003</v>
      </c>
      <c r="I35" s="248">
        <f t="shared" si="0"/>
        <v>100</v>
      </c>
    </row>
    <row r="36" spans="1:9" ht="25.5">
      <c r="A36" s="265"/>
      <c r="B36" s="175" t="s">
        <v>287</v>
      </c>
      <c r="C36" s="237" t="s">
        <v>296</v>
      </c>
      <c r="D36" s="238"/>
      <c r="E36" s="238"/>
      <c r="F36" s="238"/>
      <c r="G36" s="239">
        <f>G37+G43</f>
        <v>1971</v>
      </c>
      <c r="H36" s="240">
        <f>H37+H43</f>
        <v>1971</v>
      </c>
      <c r="I36" s="248">
        <f t="shared" si="0"/>
        <v>100</v>
      </c>
    </row>
    <row r="37" spans="1:9" ht="38.25">
      <c r="A37" s="265"/>
      <c r="B37" s="116" t="s">
        <v>297</v>
      </c>
      <c r="C37" s="237" t="s">
        <v>298</v>
      </c>
      <c r="D37" s="238"/>
      <c r="E37" s="238"/>
      <c r="F37" s="238"/>
      <c r="G37" s="239">
        <f t="shared" ref="G37:H39" si="3">G38</f>
        <v>657</v>
      </c>
      <c r="H37" s="240">
        <f t="shared" si="3"/>
        <v>657</v>
      </c>
      <c r="I37" s="248">
        <f t="shared" si="0"/>
        <v>100</v>
      </c>
    </row>
    <row r="38" spans="1:9">
      <c r="A38" s="265"/>
      <c r="B38" s="116" t="s">
        <v>95</v>
      </c>
      <c r="C38" s="237" t="s">
        <v>298</v>
      </c>
      <c r="D38" s="238" t="s">
        <v>66</v>
      </c>
      <c r="E38" s="238"/>
      <c r="F38" s="238"/>
      <c r="G38" s="239">
        <f t="shared" si="3"/>
        <v>657</v>
      </c>
      <c r="H38" s="240">
        <f t="shared" si="3"/>
        <v>657</v>
      </c>
      <c r="I38" s="248">
        <f t="shared" si="0"/>
        <v>100</v>
      </c>
    </row>
    <row r="39" spans="1:9">
      <c r="A39" s="265"/>
      <c r="B39" s="116" t="s">
        <v>67</v>
      </c>
      <c r="C39" s="237" t="s">
        <v>298</v>
      </c>
      <c r="D39" s="238" t="s">
        <v>66</v>
      </c>
      <c r="E39" s="238" t="s">
        <v>12</v>
      </c>
      <c r="F39" s="238"/>
      <c r="G39" s="239">
        <f t="shared" si="3"/>
        <v>657</v>
      </c>
      <c r="H39" s="240">
        <f t="shared" si="3"/>
        <v>657</v>
      </c>
      <c r="I39" s="248">
        <f t="shared" si="0"/>
        <v>100</v>
      </c>
    </row>
    <row r="40" spans="1:9" ht="25.5">
      <c r="A40" s="265"/>
      <c r="B40" s="175" t="s">
        <v>76</v>
      </c>
      <c r="C40" s="237" t="s">
        <v>298</v>
      </c>
      <c r="D40" s="238" t="s">
        <v>66</v>
      </c>
      <c r="E40" s="238" t="s">
        <v>12</v>
      </c>
      <c r="F40" s="238" t="s">
        <v>77</v>
      </c>
      <c r="G40" s="239">
        <f>G41+G42</f>
        <v>657</v>
      </c>
      <c r="H40" s="240">
        <f>H41+H42</f>
        <v>657</v>
      </c>
      <c r="I40" s="248">
        <f t="shared" si="0"/>
        <v>100</v>
      </c>
    </row>
    <row r="41" spans="1:9">
      <c r="A41" s="265"/>
      <c r="B41" s="175" t="s">
        <v>291</v>
      </c>
      <c r="C41" s="237" t="s">
        <v>298</v>
      </c>
      <c r="D41" s="238" t="s">
        <v>66</v>
      </c>
      <c r="E41" s="238" t="s">
        <v>12</v>
      </c>
      <c r="F41" s="238" t="s">
        <v>68</v>
      </c>
      <c r="G41" s="239">
        <f>504600/1000</f>
        <v>504.6</v>
      </c>
      <c r="H41" s="257">
        <f>504600/1000</f>
        <v>504.6</v>
      </c>
      <c r="I41" s="248">
        <f t="shared" si="0"/>
        <v>100</v>
      </c>
    </row>
    <row r="42" spans="1:9" ht="51">
      <c r="A42" s="265"/>
      <c r="B42" s="175" t="s">
        <v>293</v>
      </c>
      <c r="C42" s="237" t="s">
        <v>298</v>
      </c>
      <c r="D42" s="238" t="s">
        <v>66</v>
      </c>
      <c r="E42" s="238" t="s">
        <v>12</v>
      </c>
      <c r="F42" s="238" t="s">
        <v>294</v>
      </c>
      <c r="G42" s="239">
        <f>152400/1000</f>
        <v>152.4</v>
      </c>
      <c r="H42" s="257">
        <f>152400/1000</f>
        <v>152.4</v>
      </c>
      <c r="I42" s="248">
        <f t="shared" si="0"/>
        <v>100</v>
      </c>
    </row>
    <row r="43" spans="1:9" ht="51">
      <c r="A43" s="265"/>
      <c r="B43" s="116" t="s">
        <v>299</v>
      </c>
      <c r="C43" s="115" t="s">
        <v>300</v>
      </c>
      <c r="D43" s="238"/>
      <c r="E43" s="238"/>
      <c r="F43" s="238"/>
      <c r="G43" s="239">
        <f t="shared" ref="G43:H45" si="4">G44</f>
        <v>1314</v>
      </c>
      <c r="H43" s="240">
        <f t="shared" si="4"/>
        <v>1314</v>
      </c>
      <c r="I43" s="248">
        <f t="shared" si="0"/>
        <v>100</v>
      </c>
    </row>
    <row r="44" spans="1:9">
      <c r="A44" s="265"/>
      <c r="B44" s="116" t="s">
        <v>95</v>
      </c>
      <c r="C44" s="115" t="s">
        <v>300</v>
      </c>
      <c r="D44" s="238" t="s">
        <v>66</v>
      </c>
      <c r="E44" s="238"/>
      <c r="F44" s="238"/>
      <c r="G44" s="239">
        <f t="shared" si="4"/>
        <v>1314</v>
      </c>
      <c r="H44" s="240">
        <f t="shared" si="4"/>
        <v>1314</v>
      </c>
      <c r="I44" s="248">
        <f t="shared" si="0"/>
        <v>100</v>
      </c>
    </row>
    <row r="45" spans="1:9">
      <c r="A45" s="265"/>
      <c r="B45" s="116" t="s">
        <v>67</v>
      </c>
      <c r="C45" s="115" t="s">
        <v>300</v>
      </c>
      <c r="D45" s="238" t="s">
        <v>66</v>
      </c>
      <c r="E45" s="238" t="s">
        <v>12</v>
      </c>
      <c r="F45" s="238"/>
      <c r="G45" s="239">
        <f t="shared" si="4"/>
        <v>1314</v>
      </c>
      <c r="H45" s="240">
        <f t="shared" si="4"/>
        <v>1314</v>
      </c>
      <c r="I45" s="248">
        <f t="shared" si="0"/>
        <v>100</v>
      </c>
    </row>
    <row r="46" spans="1:9" ht="25.5">
      <c r="A46" s="265"/>
      <c r="B46" s="175" t="s">
        <v>76</v>
      </c>
      <c r="C46" s="115" t="s">
        <v>300</v>
      </c>
      <c r="D46" s="114" t="s">
        <v>66</v>
      </c>
      <c r="E46" s="114" t="s">
        <v>12</v>
      </c>
      <c r="F46" s="115" t="s">
        <v>77</v>
      </c>
      <c r="G46" s="239">
        <f>G47+G48</f>
        <v>1314</v>
      </c>
      <c r="H46" s="240">
        <f>H47+H48</f>
        <v>1314</v>
      </c>
      <c r="I46" s="248">
        <f t="shared" si="0"/>
        <v>100</v>
      </c>
    </row>
    <row r="47" spans="1:9">
      <c r="A47" s="265"/>
      <c r="B47" s="175" t="s">
        <v>291</v>
      </c>
      <c r="C47" s="115" t="s">
        <v>300</v>
      </c>
      <c r="D47" s="114" t="s">
        <v>66</v>
      </c>
      <c r="E47" s="114" t="s">
        <v>12</v>
      </c>
      <c r="F47" s="115" t="s">
        <v>68</v>
      </c>
      <c r="G47" s="146">
        <f>1009200/1000</f>
        <v>1009.2</v>
      </c>
      <c r="H47" s="257">
        <f>1009200/1000</f>
        <v>1009.2</v>
      </c>
      <c r="I47" s="248">
        <f t="shared" si="0"/>
        <v>100</v>
      </c>
    </row>
    <row r="48" spans="1:9" ht="51">
      <c r="A48" s="265"/>
      <c r="B48" s="175" t="s">
        <v>293</v>
      </c>
      <c r="C48" s="115" t="s">
        <v>300</v>
      </c>
      <c r="D48" s="114" t="s">
        <v>66</v>
      </c>
      <c r="E48" s="114" t="s">
        <v>12</v>
      </c>
      <c r="F48" s="115" t="s">
        <v>294</v>
      </c>
      <c r="G48" s="146">
        <f>304800/1000</f>
        <v>304.8</v>
      </c>
      <c r="H48" s="257">
        <f>304800/1000</f>
        <v>304.8</v>
      </c>
      <c r="I48" s="248">
        <f t="shared" si="0"/>
        <v>100</v>
      </c>
    </row>
    <row r="49" spans="1:9">
      <c r="A49" s="242"/>
      <c r="B49" s="266" t="s">
        <v>301</v>
      </c>
      <c r="C49" s="238" t="s">
        <v>302</v>
      </c>
      <c r="D49" s="238"/>
      <c r="E49" s="238"/>
      <c r="F49" s="238"/>
      <c r="G49" s="239">
        <f t="shared" ref="G49:H54" si="5">G50</f>
        <v>1973.95946</v>
      </c>
      <c r="H49" s="240">
        <f t="shared" si="5"/>
        <v>1973.95946</v>
      </c>
      <c r="I49" s="248">
        <f t="shared" si="0"/>
        <v>100</v>
      </c>
    </row>
    <row r="50" spans="1:9" ht="25.5">
      <c r="A50" s="242"/>
      <c r="B50" s="175" t="s">
        <v>287</v>
      </c>
      <c r="C50" s="238" t="s">
        <v>303</v>
      </c>
      <c r="D50" s="238"/>
      <c r="E50" s="238"/>
      <c r="F50" s="238"/>
      <c r="G50" s="239">
        <f t="shared" si="5"/>
        <v>1973.95946</v>
      </c>
      <c r="H50" s="240">
        <f t="shared" si="5"/>
        <v>1973.95946</v>
      </c>
      <c r="I50" s="248">
        <f t="shared" si="0"/>
        <v>100</v>
      </c>
    </row>
    <row r="51" spans="1:9" ht="15.75" customHeight="1">
      <c r="A51" s="242"/>
      <c r="B51" s="116" t="s">
        <v>304</v>
      </c>
      <c r="C51" s="238" t="s">
        <v>305</v>
      </c>
      <c r="D51" s="238"/>
      <c r="E51" s="238"/>
      <c r="F51" s="238"/>
      <c r="G51" s="239">
        <f t="shared" si="5"/>
        <v>1973.95946</v>
      </c>
      <c r="H51" s="240">
        <f t="shared" si="5"/>
        <v>1973.95946</v>
      </c>
      <c r="I51" s="248">
        <f t="shared" si="0"/>
        <v>100</v>
      </c>
    </row>
    <row r="52" spans="1:9">
      <c r="A52" s="242"/>
      <c r="B52" s="116" t="s">
        <v>95</v>
      </c>
      <c r="C52" s="238" t="s">
        <v>305</v>
      </c>
      <c r="D52" s="238" t="s">
        <v>66</v>
      </c>
      <c r="E52" s="238"/>
      <c r="F52" s="238"/>
      <c r="G52" s="239">
        <f t="shared" si="5"/>
        <v>1973.95946</v>
      </c>
      <c r="H52" s="240">
        <f t="shared" si="5"/>
        <v>1973.95946</v>
      </c>
      <c r="I52" s="248">
        <f t="shared" si="0"/>
        <v>100</v>
      </c>
    </row>
    <row r="53" spans="1:9">
      <c r="A53" s="242"/>
      <c r="B53" s="116" t="s">
        <v>67</v>
      </c>
      <c r="C53" s="238" t="s">
        <v>305</v>
      </c>
      <c r="D53" s="238" t="s">
        <v>66</v>
      </c>
      <c r="E53" s="238" t="s">
        <v>12</v>
      </c>
      <c r="F53" s="238"/>
      <c r="G53" s="239">
        <f>G54</f>
        <v>1973.95946</v>
      </c>
      <c r="H53" s="240">
        <f>H54</f>
        <v>1973.95946</v>
      </c>
      <c r="I53" s="248">
        <f t="shared" si="0"/>
        <v>100</v>
      </c>
    </row>
    <row r="54" spans="1:9" ht="38.25">
      <c r="A54" s="242"/>
      <c r="B54" s="116" t="s">
        <v>22</v>
      </c>
      <c r="C54" s="238" t="s">
        <v>305</v>
      </c>
      <c r="D54" s="238" t="s">
        <v>66</v>
      </c>
      <c r="E54" s="238" t="s">
        <v>12</v>
      </c>
      <c r="F54" s="238" t="s">
        <v>23</v>
      </c>
      <c r="G54" s="239">
        <f t="shared" si="5"/>
        <v>1973.95946</v>
      </c>
      <c r="H54" s="240">
        <f t="shared" si="5"/>
        <v>1973.95946</v>
      </c>
      <c r="I54" s="248">
        <f t="shared" si="0"/>
        <v>100</v>
      </c>
    </row>
    <row r="55" spans="1:9" ht="38.25">
      <c r="A55" s="242"/>
      <c r="B55" s="116" t="s">
        <v>207</v>
      </c>
      <c r="C55" s="238" t="s">
        <v>305</v>
      </c>
      <c r="D55" s="238" t="s">
        <v>66</v>
      </c>
      <c r="E55" s="238" t="s">
        <v>12</v>
      </c>
      <c r="F55" s="238" t="s">
        <v>24</v>
      </c>
      <c r="G55" s="239">
        <f>1973959.46/1000</f>
        <v>1973.95946</v>
      </c>
      <c r="H55" s="257">
        <f>1973959.46/1000</f>
        <v>1973.95946</v>
      </c>
      <c r="I55" s="248">
        <f t="shared" si="0"/>
        <v>100</v>
      </c>
    </row>
    <row r="56" spans="1:9" ht="51">
      <c r="A56" s="242">
        <v>4</v>
      </c>
      <c r="B56" s="267" t="s">
        <v>242</v>
      </c>
      <c r="C56" s="263" t="s">
        <v>243</v>
      </c>
      <c r="D56" s="249"/>
      <c r="E56" s="249"/>
      <c r="F56" s="249"/>
      <c r="G56" s="264">
        <f t="shared" ref="G56:H61" si="6">G57</f>
        <v>43.119199999999999</v>
      </c>
      <c r="H56" s="260">
        <f t="shared" si="6"/>
        <v>43.119199999999999</v>
      </c>
      <c r="I56" s="248">
        <f t="shared" si="0"/>
        <v>100</v>
      </c>
    </row>
    <row r="57" spans="1:9" ht="38.25">
      <c r="A57" s="242"/>
      <c r="B57" s="175" t="s">
        <v>235</v>
      </c>
      <c r="C57" s="237" t="s">
        <v>244</v>
      </c>
      <c r="D57" s="238"/>
      <c r="E57" s="238"/>
      <c r="F57" s="238"/>
      <c r="G57" s="239">
        <f t="shared" si="6"/>
        <v>43.119199999999999</v>
      </c>
      <c r="H57" s="240">
        <f t="shared" si="6"/>
        <v>43.119199999999999</v>
      </c>
      <c r="I57" s="248">
        <f t="shared" si="0"/>
        <v>100</v>
      </c>
    </row>
    <row r="58" spans="1:9">
      <c r="A58" s="242"/>
      <c r="B58" s="175" t="s">
        <v>245</v>
      </c>
      <c r="C58" s="237" t="s">
        <v>246</v>
      </c>
      <c r="D58" s="238"/>
      <c r="E58" s="238"/>
      <c r="F58" s="238"/>
      <c r="G58" s="239">
        <f t="shared" si="6"/>
        <v>43.119199999999999</v>
      </c>
      <c r="H58" s="240">
        <f t="shared" si="6"/>
        <v>43.119199999999999</v>
      </c>
      <c r="I58" s="248">
        <f t="shared" si="0"/>
        <v>100</v>
      </c>
    </row>
    <row r="59" spans="1:9">
      <c r="A59" s="242"/>
      <c r="B59" s="266" t="s">
        <v>96</v>
      </c>
      <c r="C59" s="237" t="s">
        <v>246</v>
      </c>
      <c r="D59" s="238" t="s">
        <v>58</v>
      </c>
      <c r="E59" s="238"/>
      <c r="F59" s="238"/>
      <c r="G59" s="239">
        <f t="shared" si="6"/>
        <v>43.119199999999999</v>
      </c>
      <c r="H59" s="240">
        <f t="shared" si="6"/>
        <v>43.119199999999999</v>
      </c>
      <c r="I59" s="248">
        <f t="shared" si="0"/>
        <v>100</v>
      </c>
    </row>
    <row r="60" spans="1:9">
      <c r="A60" s="242"/>
      <c r="B60" s="266" t="s">
        <v>59</v>
      </c>
      <c r="C60" s="237" t="s">
        <v>246</v>
      </c>
      <c r="D60" s="238" t="s">
        <v>58</v>
      </c>
      <c r="E60" s="238" t="s">
        <v>14</v>
      </c>
      <c r="F60" s="238"/>
      <c r="G60" s="239">
        <f t="shared" si="6"/>
        <v>43.119199999999999</v>
      </c>
      <c r="H60" s="240">
        <f t="shared" si="6"/>
        <v>43.119199999999999</v>
      </c>
      <c r="I60" s="248">
        <f t="shared" si="0"/>
        <v>100</v>
      </c>
    </row>
    <row r="61" spans="1:9">
      <c r="A61" s="242"/>
      <c r="B61" s="268" t="s">
        <v>229</v>
      </c>
      <c r="C61" s="237" t="s">
        <v>246</v>
      </c>
      <c r="D61" s="238" t="s">
        <v>58</v>
      </c>
      <c r="E61" s="238" t="s">
        <v>14</v>
      </c>
      <c r="F61" s="238" t="s">
        <v>230</v>
      </c>
      <c r="G61" s="239">
        <f t="shared" si="6"/>
        <v>43.119199999999999</v>
      </c>
      <c r="H61" s="240">
        <f t="shared" si="6"/>
        <v>43.119199999999999</v>
      </c>
      <c r="I61" s="248">
        <f t="shared" si="0"/>
        <v>100</v>
      </c>
    </row>
    <row r="62" spans="1:9" ht="38.25">
      <c r="A62" s="242"/>
      <c r="B62" s="116" t="s">
        <v>241</v>
      </c>
      <c r="C62" s="237" t="s">
        <v>246</v>
      </c>
      <c r="D62" s="238" t="s">
        <v>58</v>
      </c>
      <c r="E62" s="238" t="s">
        <v>14</v>
      </c>
      <c r="F62" s="238" t="s">
        <v>62</v>
      </c>
      <c r="G62" s="239">
        <f>43119.2/1000</f>
        <v>43.119199999999999</v>
      </c>
      <c r="H62" s="257">
        <f>43119.2/1000</f>
        <v>43.119199999999999</v>
      </c>
      <c r="I62" s="248">
        <f t="shared" si="0"/>
        <v>100</v>
      </c>
    </row>
    <row r="63" spans="1:9" ht="51">
      <c r="A63" s="242">
        <v>5</v>
      </c>
      <c r="B63" s="267" t="s">
        <v>253</v>
      </c>
      <c r="C63" s="243" t="s">
        <v>254</v>
      </c>
      <c r="D63" s="249"/>
      <c r="E63" s="249"/>
      <c r="F63" s="249"/>
      <c r="G63" s="264">
        <f>G64+G71+G78+G85</f>
        <v>22365.807550000001</v>
      </c>
      <c r="H63" s="260">
        <f>H64+H71+H78+H85</f>
        <v>22330.607550000001</v>
      </c>
      <c r="I63" s="248">
        <f t="shared" si="0"/>
        <v>99.842616905643538</v>
      </c>
    </row>
    <row r="64" spans="1:9">
      <c r="A64" s="242"/>
      <c r="B64" s="262" t="s">
        <v>255</v>
      </c>
      <c r="C64" s="269" t="s">
        <v>256</v>
      </c>
      <c r="D64" s="238"/>
      <c r="E64" s="238"/>
      <c r="F64" s="238"/>
      <c r="G64" s="239">
        <f t="shared" ref="G64:H69" si="7">G65</f>
        <v>7978.4092599999994</v>
      </c>
      <c r="H64" s="240">
        <f t="shared" si="7"/>
        <v>7978.4092599999994</v>
      </c>
      <c r="I64" s="248">
        <f t="shared" si="0"/>
        <v>100</v>
      </c>
    </row>
    <row r="65" spans="1:9" ht="38.25">
      <c r="A65" s="242"/>
      <c r="B65" s="175" t="s">
        <v>235</v>
      </c>
      <c r="C65" s="269" t="s">
        <v>257</v>
      </c>
      <c r="D65" s="238"/>
      <c r="E65" s="238"/>
      <c r="F65" s="238"/>
      <c r="G65" s="239">
        <f t="shared" si="7"/>
        <v>7978.4092599999994</v>
      </c>
      <c r="H65" s="240">
        <f t="shared" si="7"/>
        <v>7978.4092599999994</v>
      </c>
      <c r="I65" s="248">
        <f t="shared" si="0"/>
        <v>100</v>
      </c>
    </row>
    <row r="66" spans="1:9">
      <c r="A66" s="242"/>
      <c r="B66" s="175" t="s">
        <v>258</v>
      </c>
      <c r="C66" s="269" t="s">
        <v>259</v>
      </c>
      <c r="D66" s="238"/>
      <c r="E66" s="238"/>
      <c r="F66" s="238"/>
      <c r="G66" s="239">
        <f t="shared" si="7"/>
        <v>7978.4092599999994</v>
      </c>
      <c r="H66" s="240">
        <f t="shared" si="7"/>
        <v>7978.4092599999994</v>
      </c>
      <c r="I66" s="248">
        <f t="shared" si="0"/>
        <v>100</v>
      </c>
    </row>
    <row r="67" spans="1:9">
      <c r="A67" s="265"/>
      <c r="B67" s="266" t="s">
        <v>96</v>
      </c>
      <c r="C67" s="269" t="s">
        <v>259</v>
      </c>
      <c r="D67" s="270" t="s">
        <v>58</v>
      </c>
      <c r="E67" s="271"/>
      <c r="F67" s="269"/>
      <c r="G67" s="272">
        <f t="shared" si="7"/>
        <v>7978.4092599999994</v>
      </c>
      <c r="H67" s="240">
        <f t="shared" si="7"/>
        <v>7978.4092599999994</v>
      </c>
      <c r="I67" s="248">
        <f t="shared" si="0"/>
        <v>100</v>
      </c>
    </row>
    <row r="68" spans="1:9">
      <c r="A68" s="265"/>
      <c r="B68" s="266" t="s">
        <v>63</v>
      </c>
      <c r="C68" s="269" t="s">
        <v>259</v>
      </c>
      <c r="D68" s="270" t="s">
        <v>58</v>
      </c>
      <c r="E68" s="270" t="s">
        <v>46</v>
      </c>
      <c r="F68" s="269"/>
      <c r="G68" s="272">
        <f t="shared" si="7"/>
        <v>7978.4092599999994</v>
      </c>
      <c r="H68" s="240">
        <f t="shared" si="7"/>
        <v>7978.4092599999994</v>
      </c>
      <c r="I68" s="248">
        <f t="shared" si="0"/>
        <v>100</v>
      </c>
    </row>
    <row r="69" spans="1:9" ht="38.25">
      <c r="A69" s="265"/>
      <c r="B69" s="116" t="s">
        <v>22</v>
      </c>
      <c r="C69" s="269" t="s">
        <v>259</v>
      </c>
      <c r="D69" s="270" t="s">
        <v>58</v>
      </c>
      <c r="E69" s="270" t="s">
        <v>46</v>
      </c>
      <c r="F69" s="269" t="s">
        <v>23</v>
      </c>
      <c r="G69" s="272">
        <f t="shared" si="7"/>
        <v>7978.4092599999994</v>
      </c>
      <c r="H69" s="240">
        <f t="shared" si="7"/>
        <v>7978.4092599999994</v>
      </c>
      <c r="I69" s="248">
        <f t="shared" si="0"/>
        <v>100</v>
      </c>
    </row>
    <row r="70" spans="1:9" ht="38.25">
      <c r="A70" s="265"/>
      <c r="B70" s="116" t="s">
        <v>207</v>
      </c>
      <c r="C70" s="269" t="s">
        <v>259</v>
      </c>
      <c r="D70" s="270" t="s">
        <v>58</v>
      </c>
      <c r="E70" s="270" t="s">
        <v>46</v>
      </c>
      <c r="F70" s="269" t="s">
        <v>24</v>
      </c>
      <c r="G70" s="272">
        <f>(8624721.03-646311.77)/1000</f>
        <v>7978.4092599999994</v>
      </c>
      <c r="H70" s="257">
        <f>7978409.26/1000</f>
        <v>7978.4092599999994</v>
      </c>
      <c r="I70" s="248">
        <f t="shared" si="0"/>
        <v>100</v>
      </c>
    </row>
    <row r="71" spans="1:9">
      <c r="A71" s="242"/>
      <c r="B71" s="262" t="s">
        <v>260</v>
      </c>
      <c r="C71" s="269" t="s">
        <v>261</v>
      </c>
      <c r="D71" s="238"/>
      <c r="E71" s="238"/>
      <c r="F71" s="238"/>
      <c r="G71" s="239">
        <f t="shared" ref="G71:H76" si="8">G72</f>
        <v>499.06970000000001</v>
      </c>
      <c r="H71" s="240">
        <f t="shared" si="8"/>
        <v>499.06970000000001</v>
      </c>
      <c r="I71" s="248">
        <f t="shared" si="0"/>
        <v>100</v>
      </c>
    </row>
    <row r="72" spans="1:9" ht="38.25">
      <c r="A72" s="242"/>
      <c r="B72" s="175" t="s">
        <v>235</v>
      </c>
      <c r="C72" s="269" t="s">
        <v>262</v>
      </c>
      <c r="D72" s="238"/>
      <c r="E72" s="238"/>
      <c r="F72" s="238"/>
      <c r="G72" s="239">
        <f t="shared" si="8"/>
        <v>499.06970000000001</v>
      </c>
      <c r="H72" s="240">
        <f t="shared" si="8"/>
        <v>499.06970000000001</v>
      </c>
      <c r="I72" s="248">
        <f t="shared" si="0"/>
        <v>100</v>
      </c>
    </row>
    <row r="73" spans="1:9" ht="25.5">
      <c r="A73" s="242"/>
      <c r="B73" s="175" t="s">
        <v>263</v>
      </c>
      <c r="C73" s="269" t="s">
        <v>264</v>
      </c>
      <c r="D73" s="238"/>
      <c r="E73" s="238"/>
      <c r="F73" s="238"/>
      <c r="G73" s="239">
        <f t="shared" si="8"/>
        <v>499.06970000000001</v>
      </c>
      <c r="H73" s="240">
        <f t="shared" si="8"/>
        <v>499.06970000000001</v>
      </c>
      <c r="I73" s="248">
        <f t="shared" si="0"/>
        <v>100</v>
      </c>
    </row>
    <row r="74" spans="1:9">
      <c r="A74" s="265"/>
      <c r="B74" s="266" t="s">
        <v>96</v>
      </c>
      <c r="C74" s="269" t="s">
        <v>264</v>
      </c>
      <c r="D74" s="270" t="s">
        <v>58</v>
      </c>
      <c r="E74" s="271"/>
      <c r="F74" s="269"/>
      <c r="G74" s="272">
        <f t="shared" si="8"/>
        <v>499.06970000000001</v>
      </c>
      <c r="H74" s="240">
        <f t="shared" si="8"/>
        <v>499.06970000000001</v>
      </c>
      <c r="I74" s="248">
        <f t="shared" si="0"/>
        <v>100</v>
      </c>
    </row>
    <row r="75" spans="1:9">
      <c r="A75" s="265"/>
      <c r="B75" s="273" t="s">
        <v>63</v>
      </c>
      <c r="C75" s="269" t="s">
        <v>264</v>
      </c>
      <c r="D75" s="270" t="s">
        <v>58</v>
      </c>
      <c r="E75" s="270" t="s">
        <v>46</v>
      </c>
      <c r="F75" s="269"/>
      <c r="G75" s="272">
        <f>G76</f>
        <v>499.06970000000001</v>
      </c>
      <c r="H75" s="240">
        <f>H76</f>
        <v>499.06970000000001</v>
      </c>
      <c r="I75" s="248">
        <f t="shared" ref="I75:I138" si="9">H75/G75*100</f>
        <v>100</v>
      </c>
    </row>
    <row r="76" spans="1:9" ht="38.25">
      <c r="A76" s="265"/>
      <c r="B76" s="116" t="s">
        <v>22</v>
      </c>
      <c r="C76" s="269" t="s">
        <v>264</v>
      </c>
      <c r="D76" s="270" t="s">
        <v>58</v>
      </c>
      <c r="E76" s="270" t="s">
        <v>46</v>
      </c>
      <c r="F76" s="269" t="s">
        <v>23</v>
      </c>
      <c r="G76" s="272">
        <f t="shared" si="8"/>
        <v>499.06970000000001</v>
      </c>
      <c r="H76" s="240">
        <f t="shared" si="8"/>
        <v>499.06970000000001</v>
      </c>
      <c r="I76" s="248">
        <f t="shared" si="9"/>
        <v>100</v>
      </c>
    </row>
    <row r="77" spans="1:9" ht="38.25">
      <c r="A77" s="265"/>
      <c r="B77" s="116" t="s">
        <v>207</v>
      </c>
      <c r="C77" s="269" t="s">
        <v>264</v>
      </c>
      <c r="D77" s="270" t="s">
        <v>58</v>
      </c>
      <c r="E77" s="270" t="s">
        <v>46</v>
      </c>
      <c r="F77" s="269" t="s">
        <v>24</v>
      </c>
      <c r="G77" s="272">
        <f>499069.7/1000</f>
        <v>499.06970000000001</v>
      </c>
      <c r="H77" s="257">
        <f>499069.7/1000</f>
        <v>499.06970000000001</v>
      </c>
      <c r="I77" s="248">
        <f t="shared" si="9"/>
        <v>100</v>
      </c>
    </row>
    <row r="78" spans="1:9">
      <c r="A78" s="242"/>
      <c r="B78" s="262" t="s">
        <v>265</v>
      </c>
      <c r="C78" s="238" t="s">
        <v>266</v>
      </c>
      <c r="D78" s="238"/>
      <c r="E78" s="238"/>
      <c r="F78" s="238"/>
      <c r="G78" s="239">
        <f t="shared" ref="G78:H83" si="10">G79</f>
        <v>9988.4017399999993</v>
      </c>
      <c r="H78" s="240">
        <f t="shared" si="10"/>
        <v>9953.2017400000004</v>
      </c>
      <c r="I78" s="248">
        <f t="shared" si="9"/>
        <v>99.647591267189071</v>
      </c>
    </row>
    <row r="79" spans="1:9" ht="38.25">
      <c r="A79" s="242"/>
      <c r="B79" s="116" t="s">
        <v>235</v>
      </c>
      <c r="C79" s="238" t="s">
        <v>267</v>
      </c>
      <c r="D79" s="238"/>
      <c r="E79" s="238"/>
      <c r="F79" s="238"/>
      <c r="G79" s="239">
        <f t="shared" si="10"/>
        <v>9988.4017399999993</v>
      </c>
      <c r="H79" s="240">
        <f t="shared" si="10"/>
        <v>9953.2017400000004</v>
      </c>
      <c r="I79" s="248">
        <f t="shared" si="9"/>
        <v>99.647591267189071</v>
      </c>
    </row>
    <row r="80" spans="1:9">
      <c r="A80" s="242"/>
      <c r="B80" s="116" t="s">
        <v>268</v>
      </c>
      <c r="C80" s="238" t="s">
        <v>269</v>
      </c>
      <c r="D80" s="238"/>
      <c r="E80" s="238"/>
      <c r="F80" s="238"/>
      <c r="G80" s="239">
        <f t="shared" si="10"/>
        <v>9988.4017399999993</v>
      </c>
      <c r="H80" s="240">
        <f t="shared" si="10"/>
        <v>9953.2017400000004</v>
      </c>
      <c r="I80" s="248">
        <f t="shared" si="9"/>
        <v>99.647591267189071</v>
      </c>
    </row>
    <row r="81" spans="1:9">
      <c r="A81" s="265"/>
      <c r="B81" s="266" t="s">
        <v>96</v>
      </c>
      <c r="C81" s="238" t="s">
        <v>269</v>
      </c>
      <c r="D81" s="270" t="s">
        <v>58</v>
      </c>
      <c r="E81" s="270"/>
      <c r="F81" s="269"/>
      <c r="G81" s="272">
        <f t="shared" si="10"/>
        <v>9988.4017399999993</v>
      </c>
      <c r="H81" s="240">
        <f t="shared" si="10"/>
        <v>9953.2017400000004</v>
      </c>
      <c r="I81" s="248">
        <f t="shared" si="9"/>
        <v>99.647591267189071</v>
      </c>
    </row>
    <row r="82" spans="1:9">
      <c r="A82" s="265"/>
      <c r="B82" s="266" t="s">
        <v>63</v>
      </c>
      <c r="C82" s="238" t="s">
        <v>269</v>
      </c>
      <c r="D82" s="270" t="s">
        <v>58</v>
      </c>
      <c r="E82" s="270" t="s">
        <v>46</v>
      </c>
      <c r="F82" s="269"/>
      <c r="G82" s="272">
        <f t="shared" si="10"/>
        <v>9988.4017399999993</v>
      </c>
      <c r="H82" s="240">
        <f t="shared" si="10"/>
        <v>9953.2017400000004</v>
      </c>
      <c r="I82" s="248">
        <f t="shared" si="9"/>
        <v>99.647591267189071</v>
      </c>
    </row>
    <row r="83" spans="1:9" ht="38.25">
      <c r="A83" s="265"/>
      <c r="B83" s="116" t="s">
        <v>22</v>
      </c>
      <c r="C83" s="238" t="s">
        <v>269</v>
      </c>
      <c r="D83" s="270" t="s">
        <v>58</v>
      </c>
      <c r="E83" s="270" t="s">
        <v>46</v>
      </c>
      <c r="F83" s="269" t="s">
        <v>23</v>
      </c>
      <c r="G83" s="272">
        <f t="shared" si="10"/>
        <v>9988.4017399999993</v>
      </c>
      <c r="H83" s="240">
        <f t="shared" si="10"/>
        <v>9953.2017400000004</v>
      </c>
      <c r="I83" s="248">
        <f t="shared" si="9"/>
        <v>99.647591267189071</v>
      </c>
    </row>
    <row r="84" spans="1:9" ht="38.25">
      <c r="A84" s="265"/>
      <c r="B84" s="116" t="s">
        <v>207</v>
      </c>
      <c r="C84" s="238" t="s">
        <v>269</v>
      </c>
      <c r="D84" s="270" t="s">
        <v>58</v>
      </c>
      <c r="E84" s="270" t="s">
        <v>46</v>
      </c>
      <c r="F84" s="269" t="s">
        <v>24</v>
      </c>
      <c r="G84" s="272">
        <f>(9988500-98.26)/1000</f>
        <v>9988.4017399999993</v>
      </c>
      <c r="H84" s="257">
        <f>9953201.74/1000</f>
        <v>9953.2017400000004</v>
      </c>
      <c r="I84" s="248">
        <f t="shared" si="9"/>
        <v>99.647591267189071</v>
      </c>
    </row>
    <row r="85" spans="1:9">
      <c r="A85" s="265"/>
      <c r="B85" s="262" t="s">
        <v>270</v>
      </c>
      <c r="C85" s="238" t="s">
        <v>271</v>
      </c>
      <c r="D85" s="238"/>
      <c r="E85" s="238"/>
      <c r="F85" s="238"/>
      <c r="G85" s="272">
        <f t="shared" ref="G85:H90" si="11">G86</f>
        <v>3899.9268500000003</v>
      </c>
      <c r="H85" s="240">
        <f t="shared" si="11"/>
        <v>3899.9268500000003</v>
      </c>
      <c r="I85" s="248">
        <f t="shared" si="9"/>
        <v>100</v>
      </c>
    </row>
    <row r="86" spans="1:9" ht="38.25">
      <c r="A86" s="265"/>
      <c r="B86" s="175" t="s">
        <v>235</v>
      </c>
      <c r="C86" s="238" t="s">
        <v>272</v>
      </c>
      <c r="D86" s="238"/>
      <c r="E86" s="238"/>
      <c r="F86" s="238"/>
      <c r="G86" s="272">
        <f t="shared" si="11"/>
        <v>3899.9268500000003</v>
      </c>
      <c r="H86" s="240">
        <f t="shared" si="11"/>
        <v>3899.9268500000003</v>
      </c>
      <c r="I86" s="248">
        <f t="shared" si="9"/>
        <v>100</v>
      </c>
    </row>
    <row r="87" spans="1:9">
      <c r="A87" s="265"/>
      <c r="B87" s="175" t="s">
        <v>273</v>
      </c>
      <c r="C87" s="238" t="s">
        <v>274</v>
      </c>
      <c r="D87" s="238"/>
      <c r="E87" s="238"/>
      <c r="F87" s="238"/>
      <c r="G87" s="272">
        <f t="shared" si="11"/>
        <v>3899.9268500000003</v>
      </c>
      <c r="H87" s="240">
        <f t="shared" si="11"/>
        <v>3899.9268500000003</v>
      </c>
      <c r="I87" s="248">
        <f t="shared" si="9"/>
        <v>100</v>
      </c>
    </row>
    <row r="88" spans="1:9">
      <c r="A88" s="265"/>
      <c r="B88" s="266" t="s">
        <v>96</v>
      </c>
      <c r="C88" s="238" t="s">
        <v>274</v>
      </c>
      <c r="D88" s="270" t="s">
        <v>58</v>
      </c>
      <c r="E88" s="270"/>
      <c r="F88" s="269"/>
      <c r="G88" s="272">
        <f t="shared" si="11"/>
        <v>3899.9268500000003</v>
      </c>
      <c r="H88" s="240">
        <f t="shared" si="11"/>
        <v>3899.9268500000003</v>
      </c>
      <c r="I88" s="248">
        <f t="shared" si="9"/>
        <v>100</v>
      </c>
    </row>
    <row r="89" spans="1:9">
      <c r="A89" s="265"/>
      <c r="B89" s="266" t="s">
        <v>63</v>
      </c>
      <c r="C89" s="238" t="s">
        <v>274</v>
      </c>
      <c r="D89" s="270" t="s">
        <v>58</v>
      </c>
      <c r="E89" s="270" t="s">
        <v>46</v>
      </c>
      <c r="F89" s="269"/>
      <c r="G89" s="272">
        <f t="shared" si="11"/>
        <v>3899.9268500000003</v>
      </c>
      <c r="H89" s="240">
        <f t="shared" si="11"/>
        <v>3899.9268500000003</v>
      </c>
      <c r="I89" s="248">
        <f t="shared" si="9"/>
        <v>100</v>
      </c>
    </row>
    <row r="90" spans="1:9" ht="38.25">
      <c r="A90" s="265"/>
      <c r="B90" s="116" t="s">
        <v>22</v>
      </c>
      <c r="C90" s="238" t="s">
        <v>274</v>
      </c>
      <c r="D90" s="270" t="s">
        <v>58</v>
      </c>
      <c r="E90" s="270" t="s">
        <v>46</v>
      </c>
      <c r="F90" s="269" t="s">
        <v>23</v>
      </c>
      <c r="G90" s="272">
        <f t="shared" si="11"/>
        <v>3899.9268500000003</v>
      </c>
      <c r="H90" s="240">
        <f t="shared" si="11"/>
        <v>3899.9268500000003</v>
      </c>
      <c r="I90" s="248">
        <f t="shared" si="9"/>
        <v>100</v>
      </c>
    </row>
    <row r="91" spans="1:9" ht="38.25">
      <c r="A91" s="265"/>
      <c r="B91" s="116" t="s">
        <v>207</v>
      </c>
      <c r="C91" s="238" t="s">
        <v>274</v>
      </c>
      <c r="D91" s="270" t="s">
        <v>58</v>
      </c>
      <c r="E91" s="270" t="s">
        <v>46</v>
      </c>
      <c r="F91" s="269" t="s">
        <v>24</v>
      </c>
      <c r="G91" s="272">
        <f>3899926.85/1000</f>
        <v>3899.9268500000003</v>
      </c>
      <c r="H91" s="240">
        <f>3899926.85/1000</f>
        <v>3899.9268500000003</v>
      </c>
      <c r="I91" s="248">
        <f t="shared" si="9"/>
        <v>100</v>
      </c>
    </row>
    <row r="92" spans="1:9" ht="38.25">
      <c r="A92" s="242">
        <v>6</v>
      </c>
      <c r="B92" s="274" t="s">
        <v>316</v>
      </c>
      <c r="C92" s="263" t="s">
        <v>317</v>
      </c>
      <c r="D92" s="249"/>
      <c r="E92" s="249"/>
      <c r="F92" s="249"/>
      <c r="G92" s="264">
        <f>G93+G107</f>
        <v>18057.81178</v>
      </c>
      <c r="H92" s="260">
        <f>H93+H107</f>
        <v>17499.31178</v>
      </c>
      <c r="I92" s="248">
        <f t="shared" si="9"/>
        <v>96.907155712971999</v>
      </c>
    </row>
    <row r="93" spans="1:9" ht="25.5">
      <c r="A93" s="265"/>
      <c r="B93" s="116" t="s">
        <v>318</v>
      </c>
      <c r="C93" s="237" t="s">
        <v>319</v>
      </c>
      <c r="D93" s="238"/>
      <c r="E93" s="238"/>
      <c r="F93" s="238"/>
      <c r="G93" s="239">
        <f t="shared" ref="G93:H96" si="12">G94</f>
        <v>17295.68678</v>
      </c>
      <c r="H93" s="240">
        <f t="shared" si="12"/>
        <v>16737.18678</v>
      </c>
      <c r="I93" s="248">
        <f t="shared" si="9"/>
        <v>96.770871217176378</v>
      </c>
    </row>
    <row r="94" spans="1:9" ht="25.5">
      <c r="A94" s="265"/>
      <c r="B94" s="175" t="s">
        <v>287</v>
      </c>
      <c r="C94" s="237" t="s">
        <v>320</v>
      </c>
      <c r="D94" s="238"/>
      <c r="E94" s="238"/>
      <c r="F94" s="238"/>
      <c r="G94" s="239">
        <f t="shared" si="12"/>
        <v>17295.68678</v>
      </c>
      <c r="H94" s="240">
        <f t="shared" si="12"/>
        <v>16737.18678</v>
      </c>
      <c r="I94" s="248">
        <f t="shared" si="9"/>
        <v>96.770871217176378</v>
      </c>
    </row>
    <row r="95" spans="1:9">
      <c r="A95" s="265"/>
      <c r="B95" s="175" t="s">
        <v>321</v>
      </c>
      <c r="C95" s="237" t="s">
        <v>322</v>
      </c>
      <c r="D95" s="238"/>
      <c r="E95" s="238"/>
      <c r="F95" s="238"/>
      <c r="G95" s="239">
        <f t="shared" si="12"/>
        <v>17295.68678</v>
      </c>
      <c r="H95" s="240">
        <f t="shared" si="12"/>
        <v>16737.18678</v>
      </c>
      <c r="I95" s="248">
        <f t="shared" si="9"/>
        <v>96.770871217176378</v>
      </c>
    </row>
    <row r="96" spans="1:9">
      <c r="A96" s="265"/>
      <c r="B96" s="116" t="s">
        <v>97</v>
      </c>
      <c r="C96" s="237" t="s">
        <v>322</v>
      </c>
      <c r="D96" s="238" t="s">
        <v>38</v>
      </c>
      <c r="E96" s="238"/>
      <c r="F96" s="238"/>
      <c r="G96" s="239">
        <f t="shared" si="12"/>
        <v>17295.68678</v>
      </c>
      <c r="H96" s="240">
        <f t="shared" si="12"/>
        <v>16737.18678</v>
      </c>
      <c r="I96" s="248">
        <f t="shared" si="9"/>
        <v>96.770871217176378</v>
      </c>
    </row>
    <row r="97" spans="1:9">
      <c r="A97" s="265"/>
      <c r="B97" s="116" t="s">
        <v>75</v>
      </c>
      <c r="C97" s="237" t="s">
        <v>322</v>
      </c>
      <c r="D97" s="238" t="s">
        <v>38</v>
      </c>
      <c r="E97" s="238" t="s">
        <v>12</v>
      </c>
      <c r="F97" s="238"/>
      <c r="G97" s="239">
        <f>G98+G102+G104</f>
        <v>17295.68678</v>
      </c>
      <c r="H97" s="240">
        <f>H98+H102+H104</f>
        <v>16737.18678</v>
      </c>
      <c r="I97" s="248">
        <f t="shared" si="9"/>
        <v>96.770871217176378</v>
      </c>
    </row>
    <row r="98" spans="1:9" ht="25.5">
      <c r="A98" s="265"/>
      <c r="B98" s="175" t="s">
        <v>76</v>
      </c>
      <c r="C98" s="237" t="s">
        <v>322</v>
      </c>
      <c r="D98" s="238" t="s">
        <v>38</v>
      </c>
      <c r="E98" s="238" t="s">
        <v>12</v>
      </c>
      <c r="F98" s="238" t="s">
        <v>77</v>
      </c>
      <c r="G98" s="239">
        <f>G99+G100+G101</f>
        <v>13984.65473</v>
      </c>
      <c r="H98" s="240">
        <f>H99+H100+H101</f>
        <v>13984.65473</v>
      </c>
      <c r="I98" s="248">
        <f t="shared" si="9"/>
        <v>100</v>
      </c>
    </row>
    <row r="99" spans="1:9">
      <c r="A99" s="265"/>
      <c r="B99" s="175" t="s">
        <v>291</v>
      </c>
      <c r="C99" s="237" t="s">
        <v>322</v>
      </c>
      <c r="D99" s="238" t="s">
        <v>38</v>
      </c>
      <c r="E99" s="238" t="s">
        <v>12</v>
      </c>
      <c r="F99" s="238" t="s">
        <v>68</v>
      </c>
      <c r="G99" s="239">
        <f>(11650800-824859.62)/1000</f>
        <v>10825.94038</v>
      </c>
      <c r="H99" s="257">
        <f>10825940.38/1000</f>
        <v>10825.94038</v>
      </c>
      <c r="I99" s="248">
        <f t="shared" si="9"/>
        <v>100</v>
      </c>
    </row>
    <row r="100" spans="1:9" ht="25.5">
      <c r="A100" s="265"/>
      <c r="B100" s="175" t="s">
        <v>292</v>
      </c>
      <c r="C100" s="237" t="s">
        <v>322</v>
      </c>
      <c r="D100" s="238" t="s">
        <v>38</v>
      </c>
      <c r="E100" s="238" t="s">
        <v>12</v>
      </c>
      <c r="F100" s="238" t="s">
        <v>98</v>
      </c>
      <c r="G100" s="239">
        <f>600/1000</f>
        <v>0.6</v>
      </c>
      <c r="H100" s="257">
        <f>600/1000</f>
        <v>0.6</v>
      </c>
      <c r="I100" s="248">
        <f t="shared" si="9"/>
        <v>100</v>
      </c>
    </row>
    <row r="101" spans="1:9" ht="51">
      <c r="A101" s="265"/>
      <c r="B101" s="175" t="s">
        <v>293</v>
      </c>
      <c r="C101" s="237" t="s">
        <v>322</v>
      </c>
      <c r="D101" s="238" t="s">
        <v>38</v>
      </c>
      <c r="E101" s="238" t="s">
        <v>12</v>
      </c>
      <c r="F101" s="238" t="s">
        <v>294</v>
      </c>
      <c r="G101" s="239">
        <f>(3456100-297985.65)/1000</f>
        <v>3158.1143500000003</v>
      </c>
      <c r="H101" s="257">
        <f>3158114.35/1000</f>
        <v>3158.1143500000003</v>
      </c>
      <c r="I101" s="248">
        <f t="shared" si="9"/>
        <v>100</v>
      </c>
    </row>
    <row r="102" spans="1:9" ht="38.25">
      <c r="A102" s="265"/>
      <c r="B102" s="116" t="s">
        <v>22</v>
      </c>
      <c r="C102" s="237" t="s">
        <v>322</v>
      </c>
      <c r="D102" s="238" t="s">
        <v>38</v>
      </c>
      <c r="E102" s="238" t="s">
        <v>12</v>
      </c>
      <c r="F102" s="238" t="s">
        <v>23</v>
      </c>
      <c r="G102" s="239">
        <f>G103</f>
        <v>3245.0560499999997</v>
      </c>
      <c r="H102" s="240">
        <f>H103</f>
        <v>2686.5560499999997</v>
      </c>
      <c r="I102" s="248">
        <f t="shared" si="9"/>
        <v>82.78920328664276</v>
      </c>
    </row>
    <row r="103" spans="1:9" ht="38.25">
      <c r="A103" s="265"/>
      <c r="B103" s="116" t="s">
        <v>207</v>
      </c>
      <c r="C103" s="237" t="s">
        <v>322</v>
      </c>
      <c r="D103" s="238" t="s">
        <v>38</v>
      </c>
      <c r="E103" s="238" t="s">
        <v>12</v>
      </c>
      <c r="F103" s="238" t="s">
        <v>24</v>
      </c>
      <c r="G103" s="239">
        <f>(3454200-209143.95)/1000</f>
        <v>3245.0560499999997</v>
      </c>
      <c r="H103" s="257">
        <f>2686556.05/1000</f>
        <v>2686.5560499999997</v>
      </c>
      <c r="I103" s="248">
        <f t="shared" si="9"/>
        <v>82.78920328664276</v>
      </c>
    </row>
    <row r="104" spans="1:9">
      <c r="A104" s="265"/>
      <c r="B104" s="116" t="s">
        <v>25</v>
      </c>
      <c r="C104" s="237" t="s">
        <v>322</v>
      </c>
      <c r="D104" s="238" t="s">
        <v>38</v>
      </c>
      <c r="E104" s="238" t="s">
        <v>12</v>
      </c>
      <c r="F104" s="238" t="s">
        <v>26</v>
      </c>
      <c r="G104" s="239">
        <f>G105+G106</f>
        <v>65.975999999999999</v>
      </c>
      <c r="H104" s="240">
        <f>H105+H106</f>
        <v>65.975999999999999</v>
      </c>
      <c r="I104" s="248">
        <f t="shared" si="9"/>
        <v>100</v>
      </c>
    </row>
    <row r="105" spans="1:9" ht="25.5">
      <c r="A105" s="265"/>
      <c r="B105" s="116" t="s">
        <v>27</v>
      </c>
      <c r="C105" s="237" t="s">
        <v>322</v>
      </c>
      <c r="D105" s="238" t="s">
        <v>38</v>
      </c>
      <c r="E105" s="238" t="s">
        <v>12</v>
      </c>
      <c r="F105" s="238" t="s">
        <v>28</v>
      </c>
      <c r="G105" s="239">
        <f>42902/1000</f>
        <v>42.902000000000001</v>
      </c>
      <c r="H105" s="257">
        <f>42902/1000</f>
        <v>42.902000000000001</v>
      </c>
      <c r="I105" s="248">
        <f t="shared" si="9"/>
        <v>100</v>
      </c>
    </row>
    <row r="106" spans="1:9">
      <c r="A106" s="265"/>
      <c r="B106" s="116" t="s">
        <v>295</v>
      </c>
      <c r="C106" s="237" t="s">
        <v>322</v>
      </c>
      <c r="D106" s="238" t="s">
        <v>38</v>
      </c>
      <c r="E106" s="238" t="s">
        <v>12</v>
      </c>
      <c r="F106" s="238" t="s">
        <v>29</v>
      </c>
      <c r="G106" s="239">
        <f>(22520.2+553.8)/1000</f>
        <v>23.074000000000002</v>
      </c>
      <c r="H106" s="257">
        <f>23074/1000</f>
        <v>23.074000000000002</v>
      </c>
      <c r="I106" s="248">
        <f t="shared" si="9"/>
        <v>100</v>
      </c>
    </row>
    <row r="107" spans="1:9" ht="25.5">
      <c r="A107" s="242"/>
      <c r="B107" s="266" t="s">
        <v>346</v>
      </c>
      <c r="C107" s="238" t="s">
        <v>324</v>
      </c>
      <c r="D107" s="238"/>
      <c r="E107" s="238"/>
      <c r="F107" s="238"/>
      <c r="G107" s="239">
        <f t="shared" ref="G107:H112" si="13">G108</f>
        <v>762.125</v>
      </c>
      <c r="H107" s="240">
        <f t="shared" si="13"/>
        <v>762.125</v>
      </c>
      <c r="I107" s="248">
        <f t="shared" si="9"/>
        <v>100</v>
      </c>
    </row>
    <row r="108" spans="1:9" ht="25.5">
      <c r="A108" s="242"/>
      <c r="B108" s="175" t="s">
        <v>287</v>
      </c>
      <c r="C108" s="238" t="s">
        <v>325</v>
      </c>
      <c r="D108" s="238"/>
      <c r="E108" s="238"/>
      <c r="F108" s="238"/>
      <c r="G108" s="239">
        <f t="shared" si="13"/>
        <v>762.125</v>
      </c>
      <c r="H108" s="240">
        <f t="shared" si="13"/>
        <v>762.125</v>
      </c>
      <c r="I108" s="248">
        <f t="shared" si="9"/>
        <v>100</v>
      </c>
    </row>
    <row r="109" spans="1:9" ht="25.5">
      <c r="A109" s="242"/>
      <c r="B109" s="175" t="s">
        <v>326</v>
      </c>
      <c r="C109" s="238" t="s">
        <v>327</v>
      </c>
      <c r="D109" s="238"/>
      <c r="E109" s="238"/>
      <c r="F109" s="238"/>
      <c r="G109" s="239">
        <f t="shared" si="13"/>
        <v>762.125</v>
      </c>
      <c r="H109" s="240">
        <f t="shared" si="13"/>
        <v>762.125</v>
      </c>
      <c r="I109" s="248">
        <f t="shared" si="9"/>
        <v>100</v>
      </c>
    </row>
    <row r="110" spans="1:9">
      <c r="A110" s="242"/>
      <c r="B110" s="116" t="s">
        <v>97</v>
      </c>
      <c r="C110" s="238" t="s">
        <v>327</v>
      </c>
      <c r="D110" s="238" t="s">
        <v>38</v>
      </c>
      <c r="E110" s="238"/>
      <c r="F110" s="238"/>
      <c r="G110" s="239">
        <f t="shared" si="13"/>
        <v>762.125</v>
      </c>
      <c r="H110" s="240">
        <f t="shared" si="13"/>
        <v>762.125</v>
      </c>
      <c r="I110" s="248">
        <f t="shared" si="9"/>
        <v>100</v>
      </c>
    </row>
    <row r="111" spans="1:9">
      <c r="A111" s="242"/>
      <c r="B111" s="116" t="s">
        <v>78</v>
      </c>
      <c r="C111" s="238" t="s">
        <v>327</v>
      </c>
      <c r="D111" s="238" t="s">
        <v>38</v>
      </c>
      <c r="E111" s="238" t="s">
        <v>14</v>
      </c>
      <c r="F111" s="238"/>
      <c r="G111" s="239">
        <f t="shared" si="13"/>
        <v>762.125</v>
      </c>
      <c r="H111" s="240">
        <f t="shared" si="13"/>
        <v>762.125</v>
      </c>
      <c r="I111" s="248">
        <f t="shared" si="9"/>
        <v>100</v>
      </c>
    </row>
    <row r="112" spans="1:9" ht="38.25">
      <c r="A112" s="242"/>
      <c r="B112" s="116" t="s">
        <v>22</v>
      </c>
      <c r="C112" s="238" t="s">
        <v>327</v>
      </c>
      <c r="D112" s="238" t="s">
        <v>38</v>
      </c>
      <c r="E112" s="238" t="s">
        <v>14</v>
      </c>
      <c r="F112" s="238" t="s">
        <v>23</v>
      </c>
      <c r="G112" s="239">
        <f t="shared" si="13"/>
        <v>762.125</v>
      </c>
      <c r="H112" s="240">
        <f t="shared" si="13"/>
        <v>762.125</v>
      </c>
      <c r="I112" s="248">
        <f t="shared" si="9"/>
        <v>100</v>
      </c>
    </row>
    <row r="113" spans="1:9" ht="38.25">
      <c r="A113" s="242"/>
      <c r="B113" s="116" t="s">
        <v>207</v>
      </c>
      <c r="C113" s="238" t="s">
        <v>327</v>
      </c>
      <c r="D113" s="238" t="s">
        <v>38</v>
      </c>
      <c r="E113" s="238" t="s">
        <v>14</v>
      </c>
      <c r="F113" s="238" t="s">
        <v>24</v>
      </c>
      <c r="G113" s="239">
        <f>762125/1000</f>
        <v>762.125</v>
      </c>
      <c r="H113" s="240">
        <f>762125/1000</f>
        <v>762.125</v>
      </c>
      <c r="I113" s="248">
        <f t="shared" si="9"/>
        <v>100</v>
      </c>
    </row>
    <row r="114" spans="1:9" ht="25.5">
      <c r="A114" s="242">
        <v>7</v>
      </c>
      <c r="B114" s="250" t="s">
        <v>347</v>
      </c>
      <c r="C114" s="263" t="s">
        <v>328</v>
      </c>
      <c r="D114" s="249"/>
      <c r="E114" s="249"/>
      <c r="F114" s="249"/>
      <c r="G114" s="264">
        <f t="shared" ref="G114:H118" si="14">G115</f>
        <v>5690.5468299999993</v>
      </c>
      <c r="H114" s="260">
        <f t="shared" si="14"/>
        <v>5690.5468299999993</v>
      </c>
      <c r="I114" s="248">
        <f t="shared" si="9"/>
        <v>100</v>
      </c>
    </row>
    <row r="115" spans="1:9" ht="25.5">
      <c r="A115" s="242"/>
      <c r="B115" s="262" t="s">
        <v>329</v>
      </c>
      <c r="C115" s="237" t="s">
        <v>330</v>
      </c>
      <c r="D115" s="238"/>
      <c r="E115" s="238"/>
      <c r="F115" s="238"/>
      <c r="G115" s="239">
        <f t="shared" si="14"/>
        <v>5690.5468299999993</v>
      </c>
      <c r="H115" s="240">
        <f t="shared" si="14"/>
        <v>5690.5468299999993</v>
      </c>
      <c r="I115" s="248">
        <f t="shared" si="9"/>
        <v>100</v>
      </c>
    </row>
    <row r="116" spans="1:9" ht="25.5">
      <c r="A116" s="242"/>
      <c r="B116" s="175" t="s">
        <v>287</v>
      </c>
      <c r="C116" s="237" t="s">
        <v>331</v>
      </c>
      <c r="D116" s="238"/>
      <c r="E116" s="238"/>
      <c r="F116" s="238"/>
      <c r="G116" s="239">
        <f t="shared" si="14"/>
        <v>5690.5468299999993</v>
      </c>
      <c r="H116" s="240">
        <f t="shared" si="14"/>
        <v>5690.5468299999993</v>
      </c>
      <c r="I116" s="248">
        <f t="shared" si="9"/>
        <v>100</v>
      </c>
    </row>
    <row r="117" spans="1:9">
      <c r="A117" s="242"/>
      <c r="B117" s="262" t="s">
        <v>332</v>
      </c>
      <c r="C117" s="237" t="s">
        <v>333</v>
      </c>
      <c r="D117" s="238"/>
      <c r="E117" s="238"/>
      <c r="F117" s="238"/>
      <c r="G117" s="239">
        <f t="shared" si="14"/>
        <v>5690.5468299999993</v>
      </c>
      <c r="H117" s="240">
        <f t="shared" si="14"/>
        <v>5690.5468299999993</v>
      </c>
      <c r="I117" s="248">
        <f t="shared" si="9"/>
        <v>100</v>
      </c>
    </row>
    <row r="118" spans="1:9">
      <c r="A118" s="265"/>
      <c r="B118" s="116" t="s">
        <v>99</v>
      </c>
      <c r="C118" s="237" t="s">
        <v>333</v>
      </c>
      <c r="D118" s="238" t="s">
        <v>55</v>
      </c>
      <c r="E118" s="238"/>
      <c r="F118" s="238"/>
      <c r="G118" s="239">
        <f t="shared" si="14"/>
        <v>5690.5468299999993</v>
      </c>
      <c r="H118" s="240">
        <f t="shared" si="14"/>
        <v>5690.5468299999993</v>
      </c>
      <c r="I118" s="248">
        <f t="shared" si="9"/>
        <v>100</v>
      </c>
    </row>
    <row r="119" spans="1:9">
      <c r="A119" s="265"/>
      <c r="B119" s="116" t="s">
        <v>80</v>
      </c>
      <c r="C119" s="237" t="s">
        <v>333</v>
      </c>
      <c r="D119" s="238" t="s">
        <v>55</v>
      </c>
      <c r="E119" s="238" t="s">
        <v>14</v>
      </c>
      <c r="F119" s="238"/>
      <c r="G119" s="239">
        <f>G120+G123+G125</f>
        <v>5690.5468299999993</v>
      </c>
      <c r="H119" s="240">
        <f>H120+H123+H125</f>
        <v>5690.5468299999993</v>
      </c>
      <c r="I119" s="248">
        <f t="shared" si="9"/>
        <v>100</v>
      </c>
    </row>
    <row r="120" spans="1:9" ht="25.5">
      <c r="A120" s="265"/>
      <c r="B120" s="175" t="s">
        <v>76</v>
      </c>
      <c r="C120" s="237" t="s">
        <v>333</v>
      </c>
      <c r="D120" s="238" t="s">
        <v>55</v>
      </c>
      <c r="E120" s="238" t="s">
        <v>14</v>
      </c>
      <c r="F120" s="238" t="s">
        <v>77</v>
      </c>
      <c r="G120" s="239">
        <f>G121+G122</f>
        <v>4344.4297900000001</v>
      </c>
      <c r="H120" s="240">
        <f>H121+H122</f>
        <v>4344.4297900000001</v>
      </c>
      <c r="I120" s="248">
        <f t="shared" si="9"/>
        <v>100</v>
      </c>
    </row>
    <row r="121" spans="1:9">
      <c r="A121" s="265"/>
      <c r="B121" s="175" t="s">
        <v>291</v>
      </c>
      <c r="C121" s="237" t="s">
        <v>333</v>
      </c>
      <c r="D121" s="238" t="s">
        <v>55</v>
      </c>
      <c r="E121" s="238" t="s">
        <v>14</v>
      </c>
      <c r="F121" s="238" t="s">
        <v>68</v>
      </c>
      <c r="G121" s="239">
        <f>(3435300-126520.85)/1000</f>
        <v>3308.7791499999998</v>
      </c>
      <c r="H121" s="257">
        <f>3308779.15/1000</f>
        <v>3308.7791499999998</v>
      </c>
      <c r="I121" s="248">
        <f t="shared" si="9"/>
        <v>100</v>
      </c>
    </row>
    <row r="122" spans="1:9" ht="51">
      <c r="A122" s="265"/>
      <c r="B122" s="175" t="s">
        <v>293</v>
      </c>
      <c r="C122" s="237" t="s">
        <v>333</v>
      </c>
      <c r="D122" s="238" t="s">
        <v>55</v>
      </c>
      <c r="E122" s="238" t="s">
        <v>14</v>
      </c>
      <c r="F122" s="238" t="s">
        <v>294</v>
      </c>
      <c r="G122" s="239">
        <f>(1339000-303349.36)/1000</f>
        <v>1035.6506400000001</v>
      </c>
      <c r="H122" s="257">
        <f>1035650.64/1000</f>
        <v>1035.6506400000001</v>
      </c>
      <c r="I122" s="248">
        <f t="shared" si="9"/>
        <v>100</v>
      </c>
    </row>
    <row r="123" spans="1:9" ht="38.25">
      <c r="A123" s="265"/>
      <c r="B123" s="116" t="s">
        <v>22</v>
      </c>
      <c r="C123" s="237" t="s">
        <v>333</v>
      </c>
      <c r="D123" s="238" t="s">
        <v>55</v>
      </c>
      <c r="E123" s="238" t="s">
        <v>14</v>
      </c>
      <c r="F123" s="238" t="s">
        <v>23</v>
      </c>
      <c r="G123" s="239">
        <f>G124</f>
        <v>1340.748</v>
      </c>
      <c r="H123" s="240">
        <f>H124</f>
        <v>1340.748</v>
      </c>
      <c r="I123" s="248">
        <f t="shared" si="9"/>
        <v>100</v>
      </c>
    </row>
    <row r="124" spans="1:9" ht="38.25">
      <c r="A124" s="265"/>
      <c r="B124" s="116" t="s">
        <v>207</v>
      </c>
      <c r="C124" s="237" t="s">
        <v>333</v>
      </c>
      <c r="D124" s="238" t="s">
        <v>55</v>
      </c>
      <c r="E124" s="238" t="s">
        <v>14</v>
      </c>
      <c r="F124" s="238" t="s">
        <v>24</v>
      </c>
      <c r="G124" s="239">
        <f>(1342200-1452)/1000</f>
        <v>1340.748</v>
      </c>
      <c r="H124" s="257">
        <f>1340748/1000</f>
        <v>1340.748</v>
      </c>
      <c r="I124" s="248">
        <f t="shared" si="9"/>
        <v>100</v>
      </c>
    </row>
    <row r="125" spans="1:9">
      <c r="A125" s="265"/>
      <c r="B125" s="116" t="s">
        <v>25</v>
      </c>
      <c r="C125" s="237" t="s">
        <v>333</v>
      </c>
      <c r="D125" s="238" t="s">
        <v>55</v>
      </c>
      <c r="E125" s="238" t="s">
        <v>14</v>
      </c>
      <c r="F125" s="238" t="s">
        <v>26</v>
      </c>
      <c r="G125" s="239">
        <f>G126+G127</f>
        <v>5.36904</v>
      </c>
      <c r="H125" s="240">
        <f>H126+H127</f>
        <v>5.36904</v>
      </c>
      <c r="I125" s="248">
        <f t="shared" si="9"/>
        <v>100</v>
      </c>
    </row>
    <row r="126" spans="1:9" ht="25.5">
      <c r="A126" s="265"/>
      <c r="B126" s="116" t="s">
        <v>27</v>
      </c>
      <c r="C126" s="237" t="s">
        <v>333</v>
      </c>
      <c r="D126" s="238" t="s">
        <v>55</v>
      </c>
      <c r="E126" s="238" t="s">
        <v>14</v>
      </c>
      <c r="F126" s="238" t="s">
        <v>28</v>
      </c>
      <c r="G126" s="239">
        <f>1139/1000</f>
        <v>1.139</v>
      </c>
      <c r="H126" s="257">
        <f>1139/1000</f>
        <v>1.139</v>
      </c>
      <c r="I126" s="248">
        <f t="shared" si="9"/>
        <v>100</v>
      </c>
    </row>
    <row r="127" spans="1:9">
      <c r="A127" s="265"/>
      <c r="B127" s="116" t="s">
        <v>295</v>
      </c>
      <c r="C127" s="237" t="s">
        <v>333</v>
      </c>
      <c r="D127" s="238" t="s">
        <v>55</v>
      </c>
      <c r="E127" s="238" t="s">
        <v>14</v>
      </c>
      <c r="F127" s="238" t="s">
        <v>29</v>
      </c>
      <c r="G127" s="239">
        <f>4230.04/1000</f>
        <v>4.2300399999999998</v>
      </c>
      <c r="H127" s="257">
        <f>4230.04/1000</f>
        <v>4.2300399999999998</v>
      </c>
      <c r="I127" s="248">
        <f t="shared" si="9"/>
        <v>100</v>
      </c>
    </row>
    <row r="128" spans="1:9" ht="63.75">
      <c r="A128" s="275">
        <v>8</v>
      </c>
      <c r="B128" s="250" t="s">
        <v>247</v>
      </c>
      <c r="C128" s="243" t="s">
        <v>248</v>
      </c>
      <c r="D128" s="249"/>
      <c r="E128" s="249"/>
      <c r="F128" s="249"/>
      <c r="G128" s="264">
        <f>G129</f>
        <v>3126.2836699999998</v>
      </c>
      <c r="H128" s="260">
        <f>H129</f>
        <v>3126.2836699999998</v>
      </c>
      <c r="I128" s="248">
        <f t="shared" si="9"/>
        <v>100</v>
      </c>
    </row>
    <row r="129" spans="1:9" ht="38.25">
      <c r="A129" s="275"/>
      <c r="B129" s="116" t="s">
        <v>235</v>
      </c>
      <c r="C129" s="238" t="s">
        <v>249</v>
      </c>
      <c r="D129" s="238"/>
      <c r="E129" s="238"/>
      <c r="F129" s="238"/>
      <c r="G129" s="239">
        <f>G130+G135</f>
        <v>3126.2836699999998</v>
      </c>
      <c r="H129" s="240">
        <f>H130+H135</f>
        <v>3126.2836699999998</v>
      </c>
      <c r="I129" s="248">
        <f t="shared" si="9"/>
        <v>100</v>
      </c>
    </row>
    <row r="130" spans="1:9" ht="51">
      <c r="A130" s="275"/>
      <c r="B130" s="175" t="s">
        <v>60</v>
      </c>
      <c r="C130" s="238" t="s">
        <v>250</v>
      </c>
      <c r="D130" s="238"/>
      <c r="E130" s="238"/>
      <c r="F130" s="238"/>
      <c r="G130" s="239">
        <f t="shared" ref="G130:H133" si="15">G131</f>
        <v>1844.50737</v>
      </c>
      <c r="H130" s="240">
        <f t="shared" si="15"/>
        <v>1844.50737</v>
      </c>
      <c r="I130" s="248">
        <f t="shared" si="9"/>
        <v>100</v>
      </c>
    </row>
    <row r="131" spans="1:9">
      <c r="A131" s="276"/>
      <c r="B131" s="266" t="s">
        <v>96</v>
      </c>
      <c r="C131" s="238" t="s">
        <v>250</v>
      </c>
      <c r="D131" s="270" t="s">
        <v>58</v>
      </c>
      <c r="E131" s="271"/>
      <c r="F131" s="269"/>
      <c r="G131" s="272">
        <f t="shared" si="15"/>
        <v>1844.50737</v>
      </c>
      <c r="H131" s="240">
        <f t="shared" si="15"/>
        <v>1844.50737</v>
      </c>
      <c r="I131" s="248">
        <f t="shared" si="9"/>
        <v>100</v>
      </c>
    </row>
    <row r="132" spans="1:9">
      <c r="A132" s="276"/>
      <c r="B132" s="266" t="s">
        <v>59</v>
      </c>
      <c r="C132" s="238" t="s">
        <v>250</v>
      </c>
      <c r="D132" s="270" t="s">
        <v>58</v>
      </c>
      <c r="E132" s="270" t="s">
        <v>14</v>
      </c>
      <c r="F132" s="269"/>
      <c r="G132" s="272">
        <f t="shared" si="15"/>
        <v>1844.50737</v>
      </c>
      <c r="H132" s="240">
        <f t="shared" si="15"/>
        <v>1844.50737</v>
      </c>
      <c r="I132" s="248">
        <f t="shared" si="9"/>
        <v>100</v>
      </c>
    </row>
    <row r="133" spans="1:9" ht="38.25">
      <c r="A133" s="276"/>
      <c r="B133" s="116" t="s">
        <v>22</v>
      </c>
      <c r="C133" s="238" t="s">
        <v>250</v>
      </c>
      <c r="D133" s="270" t="s">
        <v>58</v>
      </c>
      <c r="E133" s="270" t="s">
        <v>14</v>
      </c>
      <c r="F133" s="269" t="s">
        <v>23</v>
      </c>
      <c r="G133" s="272">
        <f t="shared" si="15"/>
        <v>1844.50737</v>
      </c>
      <c r="H133" s="240">
        <f t="shared" si="15"/>
        <v>1844.50737</v>
      </c>
      <c r="I133" s="248">
        <f t="shared" si="9"/>
        <v>100</v>
      </c>
    </row>
    <row r="134" spans="1:9" ht="38.25">
      <c r="A134" s="276"/>
      <c r="B134" s="116" t="s">
        <v>207</v>
      </c>
      <c r="C134" s="238" t="s">
        <v>250</v>
      </c>
      <c r="D134" s="270" t="s">
        <v>58</v>
      </c>
      <c r="E134" s="270" t="s">
        <v>14</v>
      </c>
      <c r="F134" s="269" t="s">
        <v>24</v>
      </c>
      <c r="G134" s="272">
        <f>1844507.37/1000</f>
        <v>1844.50737</v>
      </c>
      <c r="H134" s="257">
        <f>1844507.37/1000</f>
        <v>1844.50737</v>
      </c>
      <c r="I134" s="248">
        <f t="shared" si="9"/>
        <v>100</v>
      </c>
    </row>
    <row r="135" spans="1:9" ht="25.5">
      <c r="A135" s="276"/>
      <c r="B135" s="116" t="s">
        <v>251</v>
      </c>
      <c r="C135" s="270" t="s">
        <v>252</v>
      </c>
      <c r="D135" s="270"/>
      <c r="E135" s="270"/>
      <c r="F135" s="269"/>
      <c r="G135" s="277">
        <f t="shared" ref="G135:H138" si="16">G136</f>
        <v>1281.7763</v>
      </c>
      <c r="H135" s="278">
        <f t="shared" si="16"/>
        <v>1281.7763</v>
      </c>
      <c r="I135" s="248">
        <f t="shared" si="9"/>
        <v>100</v>
      </c>
    </row>
    <row r="136" spans="1:9">
      <c r="A136" s="276"/>
      <c r="B136" s="266" t="s">
        <v>96</v>
      </c>
      <c r="C136" s="270" t="s">
        <v>252</v>
      </c>
      <c r="D136" s="270" t="s">
        <v>58</v>
      </c>
      <c r="E136" s="270"/>
      <c r="F136" s="269"/>
      <c r="G136" s="277">
        <f t="shared" si="16"/>
        <v>1281.7763</v>
      </c>
      <c r="H136" s="278">
        <f t="shared" si="16"/>
        <v>1281.7763</v>
      </c>
      <c r="I136" s="248">
        <f t="shared" si="9"/>
        <v>100</v>
      </c>
    </row>
    <row r="137" spans="1:9">
      <c r="A137" s="276"/>
      <c r="B137" s="266" t="s">
        <v>59</v>
      </c>
      <c r="C137" s="270" t="s">
        <v>252</v>
      </c>
      <c r="D137" s="270" t="s">
        <v>58</v>
      </c>
      <c r="E137" s="270" t="s">
        <v>14</v>
      </c>
      <c r="F137" s="269"/>
      <c r="G137" s="277">
        <f t="shared" si="16"/>
        <v>1281.7763</v>
      </c>
      <c r="H137" s="278">
        <f t="shared" si="16"/>
        <v>1281.7763</v>
      </c>
      <c r="I137" s="248">
        <f t="shared" si="9"/>
        <v>100</v>
      </c>
    </row>
    <row r="138" spans="1:9" ht="38.25">
      <c r="A138" s="276"/>
      <c r="B138" s="116" t="s">
        <v>22</v>
      </c>
      <c r="C138" s="270" t="s">
        <v>252</v>
      </c>
      <c r="D138" s="270" t="s">
        <v>58</v>
      </c>
      <c r="E138" s="270" t="s">
        <v>14</v>
      </c>
      <c r="F138" s="269" t="s">
        <v>23</v>
      </c>
      <c r="G138" s="277">
        <f t="shared" si="16"/>
        <v>1281.7763</v>
      </c>
      <c r="H138" s="278">
        <f t="shared" si="16"/>
        <v>1281.7763</v>
      </c>
      <c r="I138" s="248">
        <f t="shared" si="9"/>
        <v>100</v>
      </c>
    </row>
    <row r="139" spans="1:9" ht="38.25">
      <c r="A139" s="276"/>
      <c r="B139" s="116" t="s">
        <v>207</v>
      </c>
      <c r="C139" s="270" t="s">
        <v>252</v>
      </c>
      <c r="D139" s="270" t="s">
        <v>58</v>
      </c>
      <c r="E139" s="270" t="s">
        <v>14</v>
      </c>
      <c r="F139" s="269" t="s">
        <v>24</v>
      </c>
      <c r="G139" s="277">
        <f>1281776.3/1000</f>
        <v>1281.7763</v>
      </c>
      <c r="H139" s="257">
        <f>1281776.3/1000</f>
        <v>1281.7763</v>
      </c>
      <c r="I139" s="248">
        <f t="shared" ref="I139:I158" si="17">H139/G139*100</f>
        <v>100</v>
      </c>
    </row>
    <row r="140" spans="1:9" ht="51">
      <c r="A140" s="275">
        <v>9</v>
      </c>
      <c r="B140" s="250" t="s">
        <v>276</v>
      </c>
      <c r="C140" s="243" t="s">
        <v>277</v>
      </c>
      <c r="D140" s="249"/>
      <c r="E140" s="249"/>
      <c r="F140" s="249"/>
      <c r="G140" s="264">
        <f>G141</f>
        <v>5041.8287500000006</v>
      </c>
      <c r="H140" s="260">
        <f>H141</f>
        <v>5041.8287500000006</v>
      </c>
      <c r="I140" s="248">
        <f t="shared" si="17"/>
        <v>100</v>
      </c>
    </row>
    <row r="141" spans="1:9" ht="38.25">
      <c r="A141" s="275"/>
      <c r="B141" s="116" t="s">
        <v>235</v>
      </c>
      <c r="C141" s="238" t="s">
        <v>278</v>
      </c>
      <c r="D141" s="238"/>
      <c r="E141" s="238"/>
      <c r="F141" s="238"/>
      <c r="G141" s="239">
        <f>G142+G147</f>
        <v>5041.8287500000006</v>
      </c>
      <c r="H141" s="240">
        <f>H142+H147</f>
        <v>5041.8287500000006</v>
      </c>
      <c r="I141" s="248">
        <f t="shared" si="17"/>
        <v>100</v>
      </c>
    </row>
    <row r="142" spans="1:9" ht="38.25">
      <c r="A142" s="275"/>
      <c r="B142" s="175" t="s">
        <v>279</v>
      </c>
      <c r="C142" s="238" t="s">
        <v>348</v>
      </c>
      <c r="D142" s="238"/>
      <c r="E142" s="238"/>
      <c r="F142" s="238"/>
      <c r="G142" s="239">
        <f t="shared" ref="G142:H145" si="18">G143</f>
        <v>4285.5544400000008</v>
      </c>
      <c r="H142" s="240">
        <f t="shared" si="18"/>
        <v>4285.5544400000008</v>
      </c>
      <c r="I142" s="248">
        <f t="shared" si="17"/>
        <v>100</v>
      </c>
    </row>
    <row r="143" spans="1:9">
      <c r="A143" s="276"/>
      <c r="B143" s="266" t="s">
        <v>96</v>
      </c>
      <c r="C143" s="238" t="s">
        <v>348</v>
      </c>
      <c r="D143" s="270" t="s">
        <v>58</v>
      </c>
      <c r="E143" s="271"/>
      <c r="F143" s="269"/>
      <c r="G143" s="272">
        <f t="shared" si="18"/>
        <v>4285.5544400000008</v>
      </c>
      <c r="H143" s="240">
        <f t="shared" si="18"/>
        <v>4285.5544400000008</v>
      </c>
      <c r="I143" s="248">
        <f t="shared" si="17"/>
        <v>100</v>
      </c>
    </row>
    <row r="144" spans="1:9">
      <c r="A144" s="276"/>
      <c r="B144" s="266" t="s">
        <v>63</v>
      </c>
      <c r="C144" s="238" t="s">
        <v>348</v>
      </c>
      <c r="D144" s="270" t="s">
        <v>58</v>
      </c>
      <c r="E144" s="270" t="s">
        <v>46</v>
      </c>
      <c r="F144" s="269"/>
      <c r="G144" s="272">
        <f t="shared" si="18"/>
        <v>4285.5544400000008</v>
      </c>
      <c r="H144" s="240">
        <f t="shared" si="18"/>
        <v>4285.5544400000008</v>
      </c>
      <c r="I144" s="248">
        <f t="shared" si="17"/>
        <v>100</v>
      </c>
    </row>
    <row r="145" spans="1:9" ht="38.25">
      <c r="A145" s="276"/>
      <c r="B145" s="116" t="s">
        <v>22</v>
      </c>
      <c r="C145" s="238" t="s">
        <v>348</v>
      </c>
      <c r="D145" s="270" t="s">
        <v>58</v>
      </c>
      <c r="E145" s="270" t="s">
        <v>46</v>
      </c>
      <c r="F145" s="269" t="s">
        <v>23</v>
      </c>
      <c r="G145" s="272">
        <f t="shared" si="18"/>
        <v>4285.5544400000008</v>
      </c>
      <c r="H145" s="240">
        <f t="shared" si="18"/>
        <v>4285.5544400000008</v>
      </c>
      <c r="I145" s="248">
        <f t="shared" si="17"/>
        <v>100</v>
      </c>
    </row>
    <row r="146" spans="1:9" ht="38.25">
      <c r="A146" s="276"/>
      <c r="B146" s="116" t="s">
        <v>207</v>
      </c>
      <c r="C146" s="238" t="s">
        <v>348</v>
      </c>
      <c r="D146" s="270" t="s">
        <v>58</v>
      </c>
      <c r="E146" s="270" t="s">
        <v>46</v>
      </c>
      <c r="F146" s="269" t="s">
        <v>24</v>
      </c>
      <c r="G146" s="272">
        <f>(4285560-5.56)/1000</f>
        <v>4285.5544400000008</v>
      </c>
      <c r="H146" s="257">
        <f>4285554.44/1000</f>
        <v>4285.5544400000008</v>
      </c>
      <c r="I146" s="248">
        <f t="shared" si="17"/>
        <v>100</v>
      </c>
    </row>
    <row r="147" spans="1:9" ht="25.5">
      <c r="A147" s="276"/>
      <c r="B147" s="116" t="s">
        <v>349</v>
      </c>
      <c r="C147" s="270" t="s">
        <v>282</v>
      </c>
      <c r="D147" s="270"/>
      <c r="E147" s="270"/>
      <c r="F147" s="269"/>
      <c r="G147" s="277">
        <f t="shared" ref="G147:H149" si="19">G148</f>
        <v>756.27431000000001</v>
      </c>
      <c r="H147" s="278">
        <f t="shared" si="19"/>
        <v>756.27431000000001</v>
      </c>
      <c r="I147" s="248">
        <f t="shared" si="17"/>
        <v>100</v>
      </c>
    </row>
    <row r="148" spans="1:9">
      <c r="A148" s="276"/>
      <c r="B148" s="266" t="s">
        <v>63</v>
      </c>
      <c r="C148" s="270" t="s">
        <v>282</v>
      </c>
      <c r="D148" s="270" t="s">
        <v>58</v>
      </c>
      <c r="E148" s="270" t="s">
        <v>46</v>
      </c>
      <c r="F148" s="269"/>
      <c r="G148" s="277">
        <f t="shared" si="19"/>
        <v>756.27431000000001</v>
      </c>
      <c r="H148" s="278">
        <f t="shared" si="19"/>
        <v>756.27431000000001</v>
      </c>
      <c r="I148" s="248">
        <f t="shared" si="17"/>
        <v>100</v>
      </c>
    </row>
    <row r="149" spans="1:9" ht="38.25">
      <c r="A149" s="276"/>
      <c r="B149" s="116" t="s">
        <v>22</v>
      </c>
      <c r="C149" s="270" t="s">
        <v>282</v>
      </c>
      <c r="D149" s="270" t="s">
        <v>58</v>
      </c>
      <c r="E149" s="270" t="s">
        <v>46</v>
      </c>
      <c r="F149" s="269" t="s">
        <v>23</v>
      </c>
      <c r="G149" s="277">
        <f t="shared" si="19"/>
        <v>756.27431000000001</v>
      </c>
      <c r="H149" s="278">
        <f t="shared" si="19"/>
        <v>756.27431000000001</v>
      </c>
      <c r="I149" s="248">
        <f t="shared" si="17"/>
        <v>100</v>
      </c>
    </row>
    <row r="150" spans="1:9" ht="38.25">
      <c r="A150" s="276"/>
      <c r="B150" s="116" t="s">
        <v>207</v>
      </c>
      <c r="C150" s="270" t="s">
        <v>282</v>
      </c>
      <c r="D150" s="270" t="s">
        <v>58</v>
      </c>
      <c r="E150" s="270" t="s">
        <v>46</v>
      </c>
      <c r="F150" s="269" t="s">
        <v>24</v>
      </c>
      <c r="G150" s="277">
        <f>(789450-33175.69)/1000</f>
        <v>756.27431000000001</v>
      </c>
      <c r="H150" s="257">
        <f>756274.31/1000</f>
        <v>756.27431000000001</v>
      </c>
      <c r="I150" s="248">
        <f t="shared" si="17"/>
        <v>100</v>
      </c>
    </row>
    <row r="151" spans="1:9" ht="25.5">
      <c r="A151" s="249" t="s">
        <v>50</v>
      </c>
      <c r="B151" s="250" t="s">
        <v>350</v>
      </c>
      <c r="C151" s="251" t="s">
        <v>307</v>
      </c>
      <c r="D151" s="252"/>
      <c r="E151" s="253"/>
      <c r="F151" s="252"/>
      <c r="G151" s="254">
        <f>G152</f>
        <v>551.24469999999997</v>
      </c>
      <c r="H151" s="254">
        <f>H152</f>
        <v>551.24469999999997</v>
      </c>
      <c r="I151" s="248">
        <f t="shared" si="17"/>
        <v>100</v>
      </c>
    </row>
    <row r="152" spans="1:9" ht="38.25">
      <c r="A152" s="255"/>
      <c r="B152" s="116" t="s">
        <v>22</v>
      </c>
      <c r="C152" s="177" t="s">
        <v>308</v>
      </c>
      <c r="D152" s="115" t="s">
        <v>66</v>
      </c>
      <c r="E152" s="177" t="s">
        <v>12</v>
      </c>
      <c r="F152" s="115" t="s">
        <v>23</v>
      </c>
      <c r="G152" s="256">
        <f>G153</f>
        <v>551.24469999999997</v>
      </c>
      <c r="H152" s="256">
        <f>H153</f>
        <v>551.24469999999997</v>
      </c>
      <c r="I152" s="248">
        <f t="shared" si="17"/>
        <v>100</v>
      </c>
    </row>
    <row r="153" spans="1:9" ht="38.25">
      <c r="A153" s="255"/>
      <c r="B153" s="116" t="s">
        <v>207</v>
      </c>
      <c r="C153" s="177" t="s">
        <v>308</v>
      </c>
      <c r="D153" s="115" t="s">
        <v>66</v>
      </c>
      <c r="E153" s="177" t="s">
        <v>12</v>
      </c>
      <c r="F153" s="115" t="s">
        <v>24</v>
      </c>
      <c r="G153" s="256">
        <f>551244.7/1000</f>
        <v>551.24469999999997</v>
      </c>
      <c r="H153" s="257">
        <f>551244.7/1000</f>
        <v>551.24469999999997</v>
      </c>
      <c r="I153" s="248">
        <f t="shared" si="17"/>
        <v>100</v>
      </c>
    </row>
    <row r="154" spans="1:9" ht="63.75">
      <c r="A154" s="249" t="s">
        <v>38</v>
      </c>
      <c r="B154" s="250" t="s">
        <v>227</v>
      </c>
      <c r="C154" s="251" t="s">
        <v>228</v>
      </c>
      <c r="D154" s="252"/>
      <c r="E154" s="253"/>
      <c r="F154" s="252"/>
      <c r="G154" s="254">
        <f>G155+G157</f>
        <v>664.5</v>
      </c>
      <c r="H154" s="254">
        <f>H155+H157</f>
        <v>165</v>
      </c>
      <c r="I154" s="248">
        <f t="shared" si="17"/>
        <v>24.830699774266364</v>
      </c>
    </row>
    <row r="155" spans="1:9">
      <c r="A155" s="255"/>
      <c r="B155" s="268" t="s">
        <v>229</v>
      </c>
      <c r="C155" s="177" t="s">
        <v>228</v>
      </c>
      <c r="D155" s="115" t="s">
        <v>12</v>
      </c>
      <c r="E155" s="177" t="s">
        <v>40</v>
      </c>
      <c r="F155" s="238" t="s">
        <v>230</v>
      </c>
      <c r="G155" s="256">
        <f>G156</f>
        <v>499.5</v>
      </c>
      <c r="H155" s="256">
        <f>H156</f>
        <v>0</v>
      </c>
      <c r="I155" s="248">
        <f t="shared" si="17"/>
        <v>0</v>
      </c>
    </row>
    <row r="156" spans="1:9" ht="38.25">
      <c r="A156" s="255"/>
      <c r="B156" s="116" t="s">
        <v>241</v>
      </c>
      <c r="C156" s="177" t="s">
        <v>228</v>
      </c>
      <c r="D156" s="115" t="s">
        <v>12</v>
      </c>
      <c r="E156" s="177" t="s">
        <v>40</v>
      </c>
      <c r="F156" s="238" t="s">
        <v>62</v>
      </c>
      <c r="G156" s="256">
        <f>(585000-85500)/1000</f>
        <v>499.5</v>
      </c>
      <c r="H156" s="256">
        <v>0</v>
      </c>
      <c r="I156" s="248">
        <f t="shared" si="17"/>
        <v>0</v>
      </c>
    </row>
    <row r="157" spans="1:9">
      <c r="A157" s="279"/>
      <c r="B157" s="268" t="s">
        <v>229</v>
      </c>
      <c r="C157" s="177" t="s">
        <v>228</v>
      </c>
      <c r="D157" s="115" t="s">
        <v>20</v>
      </c>
      <c r="E157" s="177" t="s">
        <v>55</v>
      </c>
      <c r="F157" s="238" t="s">
        <v>230</v>
      </c>
      <c r="G157" s="256">
        <f>G158</f>
        <v>165</v>
      </c>
      <c r="H157" s="256">
        <f>H158</f>
        <v>165</v>
      </c>
      <c r="I157" s="248">
        <f t="shared" si="17"/>
        <v>100</v>
      </c>
    </row>
    <row r="158" spans="1:9" ht="38.25">
      <c r="A158" s="279"/>
      <c r="B158" s="116" t="s">
        <v>241</v>
      </c>
      <c r="C158" s="177" t="s">
        <v>228</v>
      </c>
      <c r="D158" s="115" t="s">
        <v>20</v>
      </c>
      <c r="E158" s="177" t="s">
        <v>55</v>
      </c>
      <c r="F158" s="238" t="s">
        <v>62</v>
      </c>
      <c r="G158" s="256">
        <f>165000/1000</f>
        <v>165</v>
      </c>
      <c r="H158" s="257">
        <f>165000/1000</f>
        <v>165</v>
      </c>
      <c r="I158" s="248">
        <f t="shared" si="17"/>
        <v>100</v>
      </c>
    </row>
  </sheetData>
  <mergeCells count="5">
    <mergeCell ref="C1:J1"/>
    <mergeCell ref="C2:J2"/>
    <mergeCell ref="C3:J3"/>
    <mergeCell ref="C4:J4"/>
    <mergeCell ref="A6:J6"/>
  </mergeCells>
  <pageMargins left="0.7" right="0.7" top="0.75" bottom="0.75" header="0.3" footer="0.3"/>
  <pageSetup paperSize="9" scale="66" orientation="portrait" r:id="rId1"/>
  <rowBreaks count="1" manualBreakCount="1">
    <brk id="122" max="9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>
      <selection activeCell="C11" sqref="C11"/>
    </sheetView>
  </sheetViews>
  <sheetFormatPr defaultRowHeight="15"/>
  <cols>
    <col min="1" max="1" width="45.7109375" customWidth="1"/>
    <col min="2" max="2" width="11.42578125" customWidth="1"/>
    <col min="3" max="3" width="10.140625" customWidth="1"/>
    <col min="4" max="4" width="10.5703125" customWidth="1"/>
  </cols>
  <sheetData>
    <row r="1" spans="1:8">
      <c r="A1" s="305" t="s">
        <v>117</v>
      </c>
      <c r="B1" s="305"/>
      <c r="C1" s="305"/>
      <c r="D1" s="305"/>
      <c r="E1" s="61"/>
      <c r="F1" s="61"/>
      <c r="G1" s="61"/>
      <c r="H1" s="61"/>
    </row>
    <row r="2" spans="1:8">
      <c r="A2" s="305" t="s">
        <v>359</v>
      </c>
      <c r="B2" s="305"/>
      <c r="C2" s="305"/>
      <c r="D2" s="305"/>
      <c r="E2" s="61"/>
      <c r="F2" s="61"/>
      <c r="G2" s="61"/>
      <c r="H2" s="61"/>
    </row>
    <row r="3" spans="1:8">
      <c r="A3" s="305" t="s">
        <v>360</v>
      </c>
      <c r="B3" s="305"/>
      <c r="C3" s="305"/>
      <c r="D3" s="305"/>
      <c r="E3" s="61"/>
      <c r="F3" s="61"/>
      <c r="G3" s="61"/>
      <c r="H3" s="61"/>
    </row>
    <row r="4" spans="1:8" ht="15" customHeight="1">
      <c r="A4" s="306" t="s">
        <v>198</v>
      </c>
      <c r="B4" s="306"/>
      <c r="C4" s="306"/>
      <c r="D4" s="306"/>
      <c r="E4" s="16"/>
      <c r="F4" s="16"/>
      <c r="G4" s="16"/>
      <c r="H4" s="16"/>
    </row>
    <row r="5" spans="1:8">
      <c r="A5" s="308"/>
      <c r="B5" s="308"/>
      <c r="C5" s="308"/>
      <c r="D5" s="309"/>
      <c r="E5" s="62"/>
    </row>
    <row r="6" spans="1:8" ht="77.25" customHeight="1">
      <c r="A6" s="311" t="s">
        <v>353</v>
      </c>
      <c r="B6" s="311"/>
      <c r="C6" s="311"/>
      <c r="D6" s="312"/>
      <c r="E6" s="62"/>
    </row>
    <row r="7" spans="1:8">
      <c r="A7" s="30"/>
      <c r="B7" s="308"/>
      <c r="C7" s="308"/>
      <c r="D7" s="309"/>
      <c r="E7" s="62"/>
    </row>
    <row r="8" spans="1:8">
      <c r="A8" s="30"/>
      <c r="B8" s="310" t="s">
        <v>1</v>
      </c>
      <c r="C8" s="310"/>
      <c r="D8" s="310"/>
      <c r="E8" s="62"/>
    </row>
    <row r="9" spans="1:8" ht="25.5">
      <c r="A9" s="31" t="s">
        <v>100</v>
      </c>
      <c r="B9" s="32" t="s">
        <v>7</v>
      </c>
      <c r="C9" s="33" t="s">
        <v>8</v>
      </c>
      <c r="D9" s="280" t="s">
        <v>9</v>
      </c>
    </row>
    <row r="10" spans="1:8">
      <c r="A10" s="34">
        <v>1</v>
      </c>
      <c r="B10" s="35">
        <v>2</v>
      </c>
      <c r="C10" s="36">
        <v>3</v>
      </c>
      <c r="D10" s="36">
        <v>4</v>
      </c>
    </row>
    <row r="11" spans="1:8" ht="90">
      <c r="A11" s="37" t="s">
        <v>213</v>
      </c>
      <c r="B11" s="38">
        <f>147800/1000</f>
        <v>147.80000000000001</v>
      </c>
      <c r="C11" s="38">
        <f>147800/1000</f>
        <v>147.80000000000001</v>
      </c>
      <c r="D11" s="39">
        <f>C11/B11*100</f>
        <v>100</v>
      </c>
    </row>
    <row r="12" spans="1:8" ht="102.75">
      <c r="A12" s="37" t="s">
        <v>225</v>
      </c>
      <c r="B12" s="38">
        <f>236700/1000</f>
        <v>236.7</v>
      </c>
      <c r="C12" s="38">
        <f>236700/1000</f>
        <v>236.7</v>
      </c>
      <c r="D12" s="39">
        <f>C12/B12*100</f>
        <v>100</v>
      </c>
    </row>
    <row r="13" spans="1:8">
      <c r="A13" s="40" t="s">
        <v>101</v>
      </c>
      <c r="B13" s="41">
        <f>SUM(B11:B12)</f>
        <v>384.5</v>
      </c>
      <c r="C13" s="41">
        <f>SUM(C11:C12)</f>
        <v>384.5</v>
      </c>
      <c r="D13" s="281">
        <f>C13/B13*100</f>
        <v>100</v>
      </c>
    </row>
  </sheetData>
  <mergeCells count="8">
    <mergeCell ref="B7:D7"/>
    <mergeCell ref="B8:D8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>
      <selection activeCell="A7" sqref="A7:K7"/>
    </sheetView>
  </sheetViews>
  <sheetFormatPr defaultRowHeight="15"/>
  <cols>
    <col min="1" max="1" width="6.5703125" customWidth="1"/>
    <col min="2" max="2" width="7.7109375" customWidth="1"/>
    <col min="4" max="4" width="7.85546875" customWidth="1"/>
    <col min="5" max="5" width="8.85546875" customWidth="1"/>
    <col min="6" max="6" width="8.140625" customWidth="1"/>
    <col min="7" max="7" width="6.42578125" customWidth="1"/>
    <col min="8" max="8" width="7.140625" customWidth="1"/>
    <col min="10" max="10" width="10.140625" customWidth="1"/>
    <col min="11" max="11" width="9.85546875" customWidth="1"/>
  </cols>
  <sheetData>
    <row r="1" spans="1:11" ht="15.75">
      <c r="A1" s="42"/>
      <c r="B1" s="43"/>
      <c r="C1" s="42"/>
      <c r="D1" s="42"/>
      <c r="E1" s="42"/>
      <c r="F1" s="42"/>
      <c r="G1" s="42"/>
      <c r="H1" s="318" t="s">
        <v>102</v>
      </c>
      <c r="I1" s="318"/>
      <c r="J1" s="318"/>
      <c r="K1" s="318"/>
    </row>
    <row r="2" spans="1:11" ht="15.75">
      <c r="A2" s="42"/>
      <c r="B2" s="43" t="s">
        <v>103</v>
      </c>
      <c r="C2" s="42"/>
      <c r="D2" s="318" t="s">
        <v>104</v>
      </c>
      <c r="E2" s="318"/>
      <c r="F2" s="318"/>
      <c r="G2" s="318"/>
      <c r="H2" s="318"/>
      <c r="I2" s="318"/>
      <c r="J2" s="318"/>
      <c r="K2" s="318"/>
    </row>
    <row r="3" spans="1:11" ht="15.75">
      <c r="A3" s="42"/>
      <c r="B3" s="43"/>
      <c r="C3" s="42"/>
      <c r="D3" s="318" t="s">
        <v>361</v>
      </c>
      <c r="E3" s="318"/>
      <c r="F3" s="318"/>
      <c r="G3" s="318"/>
      <c r="H3" s="318"/>
      <c r="I3" s="318"/>
      <c r="J3" s="318"/>
      <c r="K3" s="318"/>
    </row>
    <row r="4" spans="1:11" ht="15.75">
      <c r="A4" s="42"/>
      <c r="B4" s="44" t="s">
        <v>105</v>
      </c>
      <c r="C4" s="42"/>
      <c r="D4" s="318" t="s">
        <v>360</v>
      </c>
      <c r="E4" s="318"/>
      <c r="F4" s="318"/>
      <c r="G4" s="318"/>
      <c r="H4" s="318"/>
      <c r="I4" s="318"/>
      <c r="J4" s="318"/>
      <c r="K4" s="318"/>
    </row>
    <row r="5" spans="1:11" ht="15.75">
      <c r="A5" s="42"/>
      <c r="B5" s="44" t="s">
        <v>106</v>
      </c>
      <c r="C5" s="42"/>
      <c r="D5" s="318" t="s">
        <v>198</v>
      </c>
      <c r="E5" s="318"/>
      <c r="F5" s="318"/>
      <c r="G5" s="318"/>
      <c r="H5" s="318"/>
      <c r="I5" s="318"/>
      <c r="J5" s="318"/>
      <c r="K5" s="318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36.75" customHeight="1">
      <c r="A7" s="319" t="s">
        <v>357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>
      <c r="A9" s="321" t="s">
        <v>107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</row>
    <row r="10" spans="1:1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5.75" thickBot="1">
      <c r="A12" s="322" t="s">
        <v>108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1" ht="35.25" customHeight="1">
      <c r="A13" s="323" t="s">
        <v>87</v>
      </c>
      <c r="B13" s="325" t="s">
        <v>109</v>
      </c>
      <c r="C13" s="326"/>
      <c r="D13" s="326"/>
      <c r="E13" s="326"/>
      <c r="F13" s="326"/>
      <c r="G13" s="326"/>
      <c r="H13" s="326"/>
      <c r="I13" s="326"/>
      <c r="J13" s="329" t="s">
        <v>355</v>
      </c>
      <c r="K13" s="330"/>
    </row>
    <row r="14" spans="1:11" ht="27" customHeight="1" thickBot="1">
      <c r="A14" s="324"/>
      <c r="B14" s="327"/>
      <c r="C14" s="328"/>
      <c r="D14" s="328"/>
      <c r="E14" s="328"/>
      <c r="F14" s="328"/>
      <c r="G14" s="328"/>
      <c r="H14" s="328"/>
      <c r="I14" s="328"/>
      <c r="J14" s="331"/>
      <c r="K14" s="332"/>
    </row>
    <row r="15" spans="1:11" ht="38.25" customHeight="1" thickBot="1">
      <c r="A15" s="50" t="s">
        <v>110</v>
      </c>
      <c r="B15" s="313" t="s">
        <v>111</v>
      </c>
      <c r="C15" s="314"/>
      <c r="D15" s="314"/>
      <c r="E15" s="314"/>
      <c r="F15" s="314"/>
      <c r="G15" s="314"/>
      <c r="H15" s="314"/>
      <c r="I15" s="315"/>
      <c r="J15" s="316">
        <v>0</v>
      </c>
      <c r="K15" s="317"/>
    </row>
    <row r="16" spans="1:11" ht="15.75" thickBot="1">
      <c r="A16" s="52"/>
      <c r="B16" s="333" t="s">
        <v>356</v>
      </c>
      <c r="C16" s="334"/>
      <c r="D16" s="334"/>
      <c r="E16" s="334"/>
      <c r="F16" s="334"/>
      <c r="G16" s="334"/>
      <c r="H16" s="334"/>
      <c r="I16" s="335"/>
      <c r="J16" s="336">
        <f>J15</f>
        <v>0</v>
      </c>
      <c r="K16" s="337"/>
    </row>
    <row r="17" spans="1:11">
      <c r="A17" s="49"/>
      <c r="B17" s="53"/>
      <c r="C17" s="53"/>
      <c r="D17" s="53"/>
      <c r="E17" s="53"/>
      <c r="F17" s="53"/>
      <c r="G17" s="53"/>
      <c r="H17" s="53"/>
      <c r="I17" s="54"/>
      <c r="J17" s="55"/>
      <c r="K17" s="55"/>
    </row>
    <row r="18" spans="1:11" ht="15.75" thickBot="1">
      <c r="A18" s="338" t="s">
        <v>112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</row>
    <row r="19" spans="1:11" ht="48.75" customHeight="1">
      <c r="A19" s="323" t="s">
        <v>87</v>
      </c>
      <c r="B19" s="329" t="s">
        <v>109</v>
      </c>
      <c r="C19" s="339"/>
      <c r="D19" s="339"/>
      <c r="E19" s="339"/>
      <c r="F19" s="339"/>
      <c r="G19" s="339"/>
      <c r="H19" s="339"/>
      <c r="I19" s="330"/>
      <c r="J19" s="329" t="s">
        <v>354</v>
      </c>
      <c r="K19" s="330"/>
    </row>
    <row r="20" spans="1:11" ht="42" customHeight="1" thickBot="1">
      <c r="A20" s="324"/>
      <c r="B20" s="331"/>
      <c r="C20" s="338"/>
      <c r="D20" s="338"/>
      <c r="E20" s="338"/>
      <c r="F20" s="338"/>
      <c r="G20" s="338"/>
      <c r="H20" s="338"/>
      <c r="I20" s="332"/>
      <c r="J20" s="331"/>
      <c r="K20" s="332"/>
    </row>
    <row r="21" spans="1:11" ht="33" customHeight="1" thickBot="1">
      <c r="A21" s="60" t="s">
        <v>110</v>
      </c>
      <c r="B21" s="340" t="s">
        <v>113</v>
      </c>
      <c r="C21" s="341"/>
      <c r="D21" s="341"/>
      <c r="E21" s="341"/>
      <c r="F21" s="341"/>
      <c r="G21" s="341"/>
      <c r="H21" s="341"/>
      <c r="I21" s="342"/>
      <c r="J21" s="343">
        <v>0</v>
      </c>
      <c r="K21" s="344"/>
    </row>
    <row r="22" spans="1:11" ht="15.75" thickBot="1">
      <c r="A22" s="51"/>
      <c r="B22" s="56"/>
      <c r="C22" s="56"/>
      <c r="D22" s="56"/>
      <c r="E22" s="56"/>
      <c r="F22" s="56"/>
      <c r="G22" s="57"/>
      <c r="H22" s="57"/>
      <c r="I22" s="58"/>
      <c r="J22" s="59"/>
      <c r="K22" s="59"/>
    </row>
    <row r="23" spans="1:11" ht="36" customHeight="1" thickBot="1">
      <c r="A23" s="60" t="s">
        <v>114</v>
      </c>
      <c r="B23" s="313" t="s">
        <v>115</v>
      </c>
      <c r="C23" s="314"/>
      <c r="D23" s="314"/>
      <c r="E23" s="314"/>
      <c r="F23" s="314"/>
      <c r="G23" s="314"/>
      <c r="H23" s="314"/>
      <c r="I23" s="315"/>
      <c r="J23" s="343">
        <v>0</v>
      </c>
      <c r="K23" s="344"/>
    </row>
    <row r="24" spans="1:11" ht="15.75" thickBot="1">
      <c r="A24" s="52"/>
      <c r="B24" s="345" t="s">
        <v>116</v>
      </c>
      <c r="C24" s="346"/>
      <c r="D24" s="346"/>
      <c r="E24" s="346"/>
      <c r="F24" s="346"/>
      <c r="G24" s="346"/>
      <c r="H24" s="346"/>
      <c r="I24" s="347"/>
      <c r="J24" s="336">
        <f>SUM(J21:K23)</f>
        <v>0</v>
      </c>
      <c r="K24" s="337"/>
    </row>
  </sheetData>
  <mergeCells count="25">
    <mergeCell ref="B21:I21"/>
    <mergeCell ref="J21:K21"/>
    <mergeCell ref="B23:I23"/>
    <mergeCell ref="J23:K23"/>
    <mergeCell ref="B24:I24"/>
    <mergeCell ref="J24:K24"/>
    <mergeCell ref="B16:I16"/>
    <mergeCell ref="J16:K16"/>
    <mergeCell ref="A18:K18"/>
    <mergeCell ref="A19:A20"/>
    <mergeCell ref="B19:I20"/>
    <mergeCell ref="J19:K20"/>
    <mergeCell ref="B15:I15"/>
    <mergeCell ref="J15:K15"/>
    <mergeCell ref="H1:K1"/>
    <mergeCell ref="D2:K2"/>
    <mergeCell ref="D3:K3"/>
    <mergeCell ref="D4:K4"/>
    <mergeCell ref="D5:K5"/>
    <mergeCell ref="A7:K7"/>
    <mergeCell ref="A9:K9"/>
    <mergeCell ref="A12:K12"/>
    <mergeCell ref="A13:A14"/>
    <mergeCell ref="B13:I14"/>
    <mergeCell ref="J13:K14"/>
  </mergeCells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60" workbookViewId="0">
      <selection activeCell="E5" sqref="E5"/>
    </sheetView>
  </sheetViews>
  <sheetFormatPr defaultRowHeight="15"/>
  <cols>
    <col min="1" max="1" width="24.140625" customWidth="1"/>
    <col min="2" max="2" width="15.5703125" customWidth="1"/>
    <col min="3" max="3" width="15.42578125" customWidth="1"/>
    <col min="4" max="4" width="15.5703125" customWidth="1"/>
    <col min="5" max="5" width="15.7109375" customWidth="1"/>
  </cols>
  <sheetData>
    <row r="1" spans="1:5">
      <c r="A1" s="73"/>
      <c r="B1" s="349" t="s">
        <v>156</v>
      </c>
      <c r="C1" s="349"/>
      <c r="D1" s="349"/>
      <c r="E1" s="349"/>
    </row>
    <row r="2" spans="1:5" ht="29.25" customHeight="1">
      <c r="A2" s="73"/>
      <c r="B2" s="350" t="s">
        <v>359</v>
      </c>
      <c r="C2" s="350"/>
      <c r="D2" s="350"/>
      <c r="E2" s="350"/>
    </row>
    <row r="3" spans="1:5">
      <c r="A3" s="74"/>
      <c r="B3" s="349" t="s">
        <v>362</v>
      </c>
      <c r="C3" s="349"/>
      <c r="D3" s="349"/>
      <c r="E3" s="349"/>
    </row>
    <row r="4" spans="1:5">
      <c r="A4" s="74"/>
      <c r="B4" s="350" t="s">
        <v>198</v>
      </c>
      <c r="C4" s="350"/>
      <c r="D4" s="350"/>
      <c r="E4" s="350"/>
    </row>
    <row r="5" spans="1:5">
      <c r="A5" s="74"/>
      <c r="B5" s="74"/>
      <c r="C5" s="74"/>
      <c r="D5" s="74"/>
      <c r="E5" s="75"/>
    </row>
    <row r="6" spans="1:5" ht="38.25" customHeight="1">
      <c r="A6" s="351" t="s">
        <v>157</v>
      </c>
      <c r="B6" s="351"/>
      <c r="C6" s="351"/>
      <c r="D6" s="351"/>
      <c r="E6" s="351"/>
    </row>
    <row r="7" spans="1:5">
      <c r="A7" s="74"/>
      <c r="B7" s="74"/>
      <c r="C7" s="74"/>
      <c r="D7" s="74"/>
      <c r="E7" s="75"/>
    </row>
    <row r="8" spans="1:5">
      <c r="A8" s="348"/>
      <c r="B8" s="348"/>
      <c r="C8" s="348"/>
      <c r="D8" s="348"/>
      <c r="E8" s="75"/>
    </row>
    <row r="9" spans="1:5">
      <c r="A9" s="76"/>
      <c r="B9" s="76"/>
      <c r="C9" s="74"/>
      <c r="D9" s="74"/>
      <c r="E9" s="75"/>
    </row>
    <row r="10" spans="1:5" ht="67.5">
      <c r="A10" s="77" t="s">
        <v>158</v>
      </c>
      <c r="B10" s="77" t="s">
        <v>159</v>
      </c>
      <c r="C10" s="77" t="s">
        <v>358</v>
      </c>
      <c r="D10" s="77" t="s">
        <v>160</v>
      </c>
      <c r="E10" s="77" t="s">
        <v>161</v>
      </c>
    </row>
    <row r="11" spans="1:5" ht="25.5">
      <c r="A11" s="282" t="s">
        <v>162</v>
      </c>
      <c r="B11" s="287">
        <v>12</v>
      </c>
      <c r="C11" s="288">
        <v>12</v>
      </c>
      <c r="D11" s="283">
        <v>13018.9</v>
      </c>
      <c r="E11" s="283">
        <v>13018.9</v>
      </c>
    </row>
    <row r="12" spans="1:5" ht="25.5">
      <c r="A12" s="282" t="s">
        <v>163</v>
      </c>
      <c r="B12" s="289">
        <v>38.75</v>
      </c>
      <c r="C12" s="289">
        <v>38.75</v>
      </c>
      <c r="D12" s="283">
        <v>21521.599999999999</v>
      </c>
      <c r="E12" s="286">
        <v>21521.599999999999</v>
      </c>
    </row>
    <row r="13" spans="1:5" ht="25.5">
      <c r="A13" s="282" t="s">
        <v>164</v>
      </c>
      <c r="B13" s="289">
        <v>24</v>
      </c>
      <c r="C13" s="289">
        <v>24</v>
      </c>
      <c r="D13" s="283">
        <v>10825.9</v>
      </c>
      <c r="E13" s="286">
        <v>10825.9</v>
      </c>
    </row>
    <row r="14" spans="1:5" ht="16.5" customHeight="1">
      <c r="A14" s="282" t="s">
        <v>165</v>
      </c>
      <c r="B14" s="289">
        <v>33.5</v>
      </c>
      <c r="C14" s="289">
        <v>29</v>
      </c>
      <c r="D14" s="283">
        <f>14639.6</f>
        <v>14639.6</v>
      </c>
      <c r="E14" s="283">
        <f>14639.6</f>
        <v>14639.6</v>
      </c>
    </row>
    <row r="15" spans="1:5">
      <c r="A15" s="282" t="s">
        <v>166</v>
      </c>
      <c r="B15" s="289">
        <v>13</v>
      </c>
      <c r="C15" s="289">
        <v>11</v>
      </c>
      <c r="D15" s="283">
        <v>7259</v>
      </c>
      <c r="E15" s="286">
        <v>7259</v>
      </c>
    </row>
    <row r="16" spans="1:5" ht="25.5">
      <c r="A16" s="282" t="s">
        <v>167</v>
      </c>
      <c r="B16" s="289">
        <v>5</v>
      </c>
      <c r="C16" s="289">
        <v>5</v>
      </c>
      <c r="D16" s="283">
        <v>3308.8</v>
      </c>
      <c r="E16" s="286">
        <f>3308.8</f>
        <v>3308.8</v>
      </c>
    </row>
    <row r="17" spans="1:5">
      <c r="A17" s="284" t="s">
        <v>168</v>
      </c>
      <c r="B17" s="290">
        <f>SUM(B11:B16)</f>
        <v>126.25</v>
      </c>
      <c r="C17" s="290">
        <f>SUM(C11:C16)</f>
        <v>119.75</v>
      </c>
      <c r="D17" s="285">
        <f>SUM(D11:D16)</f>
        <v>70573.8</v>
      </c>
      <c r="E17" s="285">
        <f>SUM(E11:E16)</f>
        <v>70573.8</v>
      </c>
    </row>
  </sheetData>
  <mergeCells count="6">
    <mergeCell ref="A8:D8"/>
    <mergeCell ref="B1:E1"/>
    <mergeCell ref="B2:E2"/>
    <mergeCell ref="B3:E3"/>
    <mergeCell ref="B4:E4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доходы</vt:lpstr>
      <vt:lpstr>ведомственная</vt:lpstr>
      <vt:lpstr>ассигнования</vt:lpstr>
      <vt:lpstr>программы</vt:lpstr>
      <vt:lpstr>трансферты</vt:lpstr>
      <vt:lpstr>обязательства</vt:lpstr>
      <vt:lpstr>оплата труда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2017-08-03T09:16:14Z</cp:lastPrinted>
  <dcterms:created xsi:type="dcterms:W3CDTF">2016-03-31T06:53:52Z</dcterms:created>
  <dcterms:modified xsi:type="dcterms:W3CDTF">2017-08-03T09:16:29Z</dcterms:modified>
</cp:coreProperties>
</file>